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8205" yWindow="0" windowWidth="23220" windowHeight="15975" tabRatio="500"/>
  </bookViews>
  <sheets>
    <sheet name="Cohort data" sheetId="2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84" i="2" l="1"/>
  <c r="C479" i="2"/>
  <c r="C474" i="2"/>
  <c r="C469" i="2"/>
  <c r="C464" i="2"/>
  <c r="C459" i="2"/>
  <c r="C456" i="2"/>
  <c r="C216" i="2"/>
  <c r="I452" i="2"/>
  <c r="I451" i="2"/>
  <c r="C451" i="2"/>
  <c r="I450" i="2"/>
  <c r="I449" i="2"/>
  <c r="I447" i="2"/>
  <c r="I446" i="2"/>
  <c r="C446" i="2"/>
  <c r="I445" i="2"/>
  <c r="I444" i="2"/>
  <c r="I442" i="2"/>
  <c r="I441" i="2"/>
  <c r="C441" i="2"/>
  <c r="I440" i="2"/>
  <c r="I439" i="2"/>
  <c r="I437" i="2"/>
  <c r="I436" i="2"/>
  <c r="C436" i="2"/>
  <c r="I435" i="2"/>
  <c r="I434" i="2"/>
  <c r="I433" i="2"/>
  <c r="I432" i="2"/>
  <c r="I431" i="2"/>
  <c r="C431" i="2"/>
  <c r="I430" i="2"/>
  <c r="I429" i="2"/>
  <c r="I428" i="2"/>
  <c r="I427" i="2"/>
  <c r="C427" i="2"/>
  <c r="I426" i="2"/>
  <c r="I425" i="2"/>
  <c r="I424" i="2"/>
  <c r="I423" i="2"/>
  <c r="C423" i="2"/>
  <c r="I422" i="2"/>
  <c r="I421" i="2"/>
  <c r="I420" i="2"/>
  <c r="I419" i="2"/>
  <c r="C419" i="2"/>
  <c r="I418" i="2"/>
  <c r="I417" i="2"/>
  <c r="I416" i="2"/>
  <c r="I415" i="2"/>
  <c r="C415" i="2"/>
  <c r="I414" i="2"/>
  <c r="I413" i="2"/>
  <c r="I412" i="2"/>
  <c r="I411" i="2"/>
  <c r="C411" i="2"/>
  <c r="I410" i="2"/>
  <c r="I409" i="2"/>
  <c r="I408" i="2"/>
  <c r="I407" i="2"/>
  <c r="I406" i="2"/>
  <c r="C406" i="2"/>
  <c r="I405" i="2"/>
  <c r="I404" i="2"/>
  <c r="I403" i="2"/>
  <c r="I402" i="2"/>
  <c r="I401" i="2"/>
  <c r="C401" i="2"/>
  <c r="I400" i="2"/>
  <c r="I399" i="2"/>
  <c r="I398" i="2"/>
  <c r="I397" i="2"/>
  <c r="I396" i="2"/>
  <c r="C396" i="2"/>
  <c r="I395" i="2"/>
  <c r="I394" i="2"/>
  <c r="I393" i="2"/>
  <c r="I392" i="2"/>
  <c r="I391" i="2"/>
  <c r="C391" i="2"/>
  <c r="I390" i="2"/>
  <c r="I389" i="2"/>
  <c r="I388" i="2"/>
  <c r="I387" i="2"/>
  <c r="I386" i="2"/>
  <c r="C386" i="2"/>
  <c r="I385" i="2"/>
  <c r="I384" i="2"/>
  <c r="I331" i="2"/>
  <c r="C331" i="2"/>
  <c r="I330" i="2"/>
  <c r="I329" i="2"/>
  <c r="I328" i="2"/>
  <c r="C328" i="2"/>
  <c r="I327" i="2"/>
  <c r="I326" i="2"/>
  <c r="I325" i="2"/>
  <c r="C325" i="2"/>
  <c r="I324" i="2"/>
  <c r="I323" i="2"/>
  <c r="I322" i="2"/>
  <c r="C322" i="2"/>
  <c r="I321" i="2"/>
  <c r="I320" i="2"/>
  <c r="C317" i="2"/>
  <c r="C312" i="2"/>
  <c r="C307" i="2"/>
  <c r="C302" i="2"/>
  <c r="C297" i="2"/>
  <c r="C292" i="2"/>
  <c r="C287" i="2"/>
  <c r="C282" i="2"/>
  <c r="C277" i="2"/>
  <c r="C272" i="2"/>
  <c r="C267" i="2"/>
  <c r="C262" i="2"/>
  <c r="C257" i="2"/>
  <c r="C252" i="2"/>
  <c r="C247" i="2"/>
  <c r="C242" i="2"/>
  <c r="C237" i="2"/>
  <c r="C232" i="2"/>
  <c r="C227" i="2"/>
  <c r="C223" i="2"/>
  <c r="C219" i="2"/>
  <c r="C147" i="2"/>
  <c r="C143" i="2"/>
  <c r="C139" i="2"/>
  <c r="C211" i="2"/>
  <c r="C206" i="2"/>
  <c r="C201" i="2"/>
  <c r="C196" i="2"/>
  <c r="C191" i="2"/>
  <c r="C186" i="2"/>
  <c r="C181" i="2"/>
  <c r="C177" i="2"/>
  <c r="C173" i="2"/>
  <c r="C169" i="2"/>
  <c r="C165" i="2"/>
  <c r="C161" i="2"/>
  <c r="C157" i="2"/>
  <c r="C154" i="2"/>
  <c r="C151" i="2"/>
  <c r="C134" i="2"/>
  <c r="C129" i="2"/>
  <c r="C124" i="2"/>
  <c r="C121" i="2"/>
  <c r="C74" i="2"/>
  <c r="C71" i="2"/>
  <c r="C68" i="2"/>
  <c r="C116" i="2"/>
  <c r="C111" i="2"/>
  <c r="C106" i="2"/>
  <c r="C101" i="2"/>
  <c r="C96" i="2"/>
  <c r="C65" i="2"/>
  <c r="C61" i="2"/>
  <c r="C57" i="2"/>
  <c r="C52" i="2"/>
  <c r="C46" i="2"/>
  <c r="C40" i="2"/>
  <c r="C34" i="2"/>
  <c r="C14" i="2"/>
  <c r="C9" i="2"/>
  <c r="C4" i="2"/>
</calcChain>
</file>

<file path=xl/comments1.xml><?xml version="1.0" encoding="utf-8"?>
<comments xmlns="http://schemas.openxmlformats.org/spreadsheetml/2006/main">
  <authors>
    <author>作者</author>
  </authors>
  <commentList>
    <comment ref="H72" authorId="0">
      <text>
        <r>
          <rPr>
            <b/>
            <sz val="9"/>
            <color indexed="81"/>
            <rFont val="Tahoma"/>
            <family val="2"/>
          </rPr>
          <t>作者:</t>
        </r>
        <r>
          <rPr>
            <sz val="9"/>
            <color indexed="81"/>
            <rFont val="Tahoma"/>
            <family val="2"/>
          </rPr>
          <t xml:space="preserve">
Different intake for men and women, but used one model
</t>
        </r>
      </text>
    </comment>
    <comment ref="H76" authorId="0">
      <text>
        <r>
          <rPr>
            <sz val="11"/>
            <color theme="1"/>
            <rFont val="Calibri"/>
            <family val="2"/>
            <charset val="134"/>
            <scheme val="minor"/>
          </rPr>
          <t>作者:</t>
        </r>
        <r>
          <rPr>
            <sz val="11"/>
            <color theme="1"/>
            <rFont val="Calibri"/>
            <family val="2"/>
            <charset val="134"/>
            <scheme val="minor"/>
          </rPr>
          <t xml:space="preserve">
age, total energy adjusted Ca mean intake reported in comments</t>
        </r>
      </text>
    </comment>
    <comment ref="H79" authorId="0">
      <text>
        <r>
          <rPr>
            <sz val="11"/>
            <color theme="1"/>
            <rFont val="Calibri"/>
            <family val="2"/>
            <charset val="134"/>
            <scheme val="minor"/>
          </rPr>
          <t>作者:</t>
        </r>
        <r>
          <rPr>
            <sz val="11"/>
            <color theme="1"/>
            <rFont val="Calibri"/>
            <family val="2"/>
            <charset val="134"/>
            <scheme val="minor"/>
          </rPr>
          <t xml:space="preserve">
age, total energy adjusted Ca mean intake reported in comments</t>
        </r>
      </text>
    </comment>
    <comment ref="H82" authorId="0">
      <text>
        <r>
          <rPr>
            <sz val="11"/>
            <color theme="1"/>
            <rFont val="Calibri"/>
            <family val="2"/>
            <charset val="134"/>
            <scheme val="minor"/>
          </rPr>
          <t>作者:</t>
        </r>
        <r>
          <rPr>
            <sz val="11"/>
            <color theme="1"/>
            <rFont val="Calibri"/>
            <family val="2"/>
            <charset val="134"/>
            <scheme val="minor"/>
          </rPr>
          <t xml:space="preserve">
age, total energy adjusted Ca mean intake reported in comments</t>
        </r>
      </text>
    </comment>
    <comment ref="H85" authorId="0">
      <text>
        <r>
          <rPr>
            <sz val="11"/>
            <color theme="1"/>
            <rFont val="Calibri"/>
            <family val="2"/>
            <charset val="134"/>
            <scheme val="minor"/>
          </rPr>
          <t>作者:</t>
        </r>
        <r>
          <rPr>
            <sz val="9"/>
            <color indexed="81"/>
            <rFont val="Tahoma"/>
            <family val="2"/>
          </rPr>
          <t xml:space="preserve">
age, total energy adjusted Ca mean intake reported</t>
        </r>
      </text>
    </comment>
    <comment ref="H88" authorId="0">
      <text>
        <r>
          <rPr>
            <sz val="11"/>
            <color theme="1"/>
            <rFont val="Calibri"/>
            <family val="2"/>
            <charset val="134"/>
            <scheme val="minor"/>
          </rPr>
          <t>作者:</t>
        </r>
        <r>
          <rPr>
            <sz val="9"/>
            <color indexed="81"/>
            <rFont val="Tahoma"/>
            <family val="2"/>
          </rPr>
          <t xml:space="preserve">
age, total energy adjusted Ca mean intake reported</t>
        </r>
      </text>
    </comment>
    <comment ref="H91" authorId="0">
      <text>
        <r>
          <rPr>
            <sz val="11"/>
            <color theme="1"/>
            <rFont val="Calibri"/>
            <family val="2"/>
            <charset val="134"/>
            <scheme val="minor"/>
          </rPr>
          <t>作者:</t>
        </r>
        <r>
          <rPr>
            <sz val="9"/>
            <color indexed="81"/>
            <rFont val="Tahoma"/>
            <family val="2"/>
          </rPr>
          <t xml:space="preserve">
age, total energy adjusted Ca mean intake reported</t>
        </r>
      </text>
    </comment>
    <comment ref="H137" authorId="0">
      <text>
        <r>
          <rPr>
            <sz val="11"/>
            <color theme="1"/>
            <rFont val="Calibri"/>
            <family val="2"/>
            <charset val="134"/>
            <scheme val="minor"/>
          </rPr>
          <t>作者:</t>
        </r>
        <r>
          <rPr>
            <sz val="9"/>
            <color indexed="81"/>
            <rFont val="Tahoma"/>
            <family val="2"/>
          </rPr>
          <t xml:space="preserve">
total dietary intake</t>
        </r>
      </text>
    </comment>
    <comment ref="E332" authorId="0">
      <text>
        <r>
          <rPr>
            <sz val="11"/>
            <color theme="1"/>
            <rFont val="Calibri"/>
            <family val="2"/>
            <charset val="134"/>
            <scheme val="minor"/>
          </rPr>
          <t>作者:</t>
        </r>
        <r>
          <rPr>
            <sz val="9"/>
            <color indexed="81"/>
            <rFont val="宋体"/>
            <charset val="134"/>
          </rPr>
          <t xml:space="preserve">
mean follow-up time for no death: 173.29 months</t>
        </r>
      </text>
    </comment>
    <comment ref="E358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mean follow-up time for no death: 173.29 months</t>
        </r>
      </text>
    </comment>
    <comment ref="E384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mean follow-up time for no death: 173.29 months</t>
        </r>
      </text>
    </comment>
    <comment ref="E394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mean follow-up time for no death: 173.29 months</t>
        </r>
      </text>
    </comment>
    <comment ref="E409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mean follow-up time for no death: 173.29 months</t>
        </r>
      </text>
    </comment>
    <comment ref="E417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mean follow-up time for no death: 173.29 months</t>
        </r>
      </text>
    </comment>
    <comment ref="E429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mean follow-up time for no death: 173.29 months</t>
        </r>
      </text>
    </comment>
    <comment ref="E439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mean follow-up time for no death: 173.29 months</t>
        </r>
      </text>
    </comment>
    <comment ref="D457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Supp Ca reported in quintile, stratified by age, smoking bmi, hypertension</t>
        </r>
      </text>
    </comment>
    <comment ref="D472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Supp Ca reported in quintile, stratified by age, smoking bmi, hypertension</t>
        </r>
      </text>
    </comment>
    <comment ref="D477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Supp Ca reported in quintile, stratified by age, smoking bmi, hypertension</t>
        </r>
      </text>
    </comment>
    <comment ref="D482" authorId="0">
      <text>
        <r>
          <rPr>
            <sz val="11"/>
            <color theme="1"/>
            <rFont val="Calibri"/>
            <family val="2"/>
            <charset val="134"/>
            <scheme val="minor"/>
          </rPr>
          <t>作者:</t>
        </r>
        <r>
          <rPr>
            <sz val="9"/>
            <color indexed="81"/>
            <rFont val="宋体"/>
            <charset val="134"/>
          </rPr>
          <t xml:space="preserve">
Supp Ca reported in quintile, stratified by age, smoking bmi, hypertension</t>
        </r>
      </text>
    </comment>
  </commentList>
</comments>
</file>

<file path=xl/sharedStrings.xml><?xml version="1.0" encoding="utf-8"?>
<sst xmlns="http://schemas.openxmlformats.org/spreadsheetml/2006/main" count="4022" uniqueCount="757">
  <si>
    <t>Outcome (n/N; Incidence)</t>
    <phoneticPr fontId="2" type="noConversion"/>
  </si>
  <si>
    <t>Ca Intake</t>
  </si>
  <si>
    <t>Follow-up Duration, y</t>
    <phoneticPr fontId="2" type="noConversion"/>
  </si>
  <si>
    <t>person-years</t>
    <phoneticPr fontId="2" type="noConversion"/>
  </si>
  <si>
    <t>Quantile</t>
    <phoneticPr fontId="2" type="noConversion"/>
  </si>
  <si>
    <t>No. of cases</t>
    <phoneticPr fontId="2" type="noConversion"/>
  </si>
  <si>
    <t>No. in category</t>
    <phoneticPr fontId="2" type="noConversion"/>
  </si>
  <si>
    <t>Metric</t>
    <phoneticPr fontId="2" type="noConversion"/>
  </si>
  <si>
    <t>Adjusted</t>
    <phoneticPr fontId="2" type="noConversion"/>
  </si>
  <si>
    <t>95% CI</t>
    <phoneticPr fontId="2" type="noConversion"/>
  </si>
  <si>
    <t>Author Year [Location]; Study</t>
    <phoneticPr fontId="2" type="noConversion"/>
  </si>
  <si>
    <t>W</t>
    <phoneticPr fontId="2" type="noConversion"/>
  </si>
  <si>
    <t>CVD death</t>
    <phoneticPr fontId="2" type="noConversion"/>
  </si>
  <si>
    <t>dietary intake</t>
  </si>
  <si>
    <t>Q1</t>
  </si>
  <si>
    <t>533, mean</t>
  </si>
  <si>
    <t>HR</t>
  </si>
  <si>
    <t>1.42, 1.87</t>
  </si>
  <si>
    <t>nd</t>
    <phoneticPr fontId="2" type="noConversion"/>
  </si>
  <si>
    <t>3862/61433</t>
    <phoneticPr fontId="2" type="noConversion"/>
  </si>
  <si>
    <t>Q2</t>
  </si>
  <si>
    <t>ref</t>
  </si>
  <si>
    <t>Q3</t>
  </si>
  <si>
    <t>HR</t>
    <phoneticPr fontId="2" type="noConversion"/>
  </si>
  <si>
    <t>0.94, 1.09</t>
  </si>
  <si>
    <t>Q4</t>
  </si>
  <si>
    <t>1.09, 2.02</t>
  </si>
  <si>
    <t>IHD death</t>
    <phoneticPr fontId="2" type="noConversion"/>
  </si>
  <si>
    <t>1.36, 2.01</t>
  </si>
  <si>
    <t>1932/61433</t>
    <phoneticPr fontId="2" type="noConversion"/>
  </si>
  <si>
    <t>0.93, 1.15</t>
  </si>
  <si>
    <t>1.48, 3.09</t>
  </si>
  <si>
    <t>CVD death</t>
    <phoneticPr fontId="2" type="noConversion"/>
  </si>
  <si>
    <t>total intake</t>
  </si>
  <si>
    <t>572, mean</t>
    <phoneticPr fontId="2" type="noConversion"/>
  </si>
  <si>
    <t>1.43, 1.90</t>
    <phoneticPr fontId="2" type="noConversion"/>
  </si>
  <si>
    <t>HR</t>
    <phoneticPr fontId="2" type="noConversion"/>
  </si>
  <si>
    <t>ref</t>
    <phoneticPr fontId="2" type="noConversion"/>
  </si>
  <si>
    <t>0.96, 1.12</t>
    <phoneticPr fontId="2" type="noConversion"/>
  </si>
  <si>
    <t>1.23, 1.84</t>
    <phoneticPr fontId="2" type="noConversion"/>
  </si>
  <si>
    <t>1.35, 2.01</t>
    <phoneticPr fontId="2" type="noConversion"/>
  </si>
  <si>
    <t>ref</t>
    <phoneticPr fontId="2" type="noConversion"/>
  </si>
  <si>
    <t>0.94, 1.16</t>
    <phoneticPr fontId="2" type="noConversion"/>
  </si>
  <si>
    <t>1.45, 2.49</t>
    <phoneticPr fontId="2" type="noConversion"/>
  </si>
  <si>
    <t>1.14, 1.97</t>
  </si>
  <si>
    <t>NA</t>
  </si>
  <si>
    <t>1100/61433</t>
    <phoneticPr fontId="2" type="noConversion"/>
  </si>
  <si>
    <t>0.89, 1.17</t>
  </si>
  <si>
    <t>0.33, 1.65</t>
  </si>
  <si>
    <t>W</t>
    <phoneticPr fontId="2" type="noConversion"/>
  </si>
  <si>
    <t>1.17, 2.01</t>
    <phoneticPr fontId="2" type="noConversion"/>
  </si>
  <si>
    <t>0.90, 1.19</t>
    <phoneticPr fontId="2" type="noConversion"/>
  </si>
  <si>
    <t>0.61, 1.5</t>
    <phoneticPr fontId="2" type="noConversion"/>
  </si>
  <si>
    <t>nd</t>
  </si>
  <si>
    <t>nd</t>
    <phoneticPr fontId="2" type="noConversion"/>
  </si>
  <si>
    <t>Stroke death</t>
    <phoneticPr fontId="2" type="noConversion"/>
  </si>
  <si>
    <t>dietary intake</t>
    <phoneticPr fontId="2" type="noConversion"/>
  </si>
  <si>
    <t>1100/61433</t>
    <phoneticPr fontId="2" type="noConversion"/>
  </si>
  <si>
    <t>p for trend</t>
    <phoneticPr fontId="2" type="noConversion"/>
  </si>
  <si>
    <t>Gender group (M,W,All)</t>
    <phoneticPr fontId="2" type="noConversion"/>
  </si>
  <si>
    <t>408, median</t>
    <phoneticPr fontId="2" type="noConversion"/>
  </si>
  <si>
    <t>RR</t>
    <phoneticPr fontId="2" type="noConversion"/>
  </si>
  <si>
    <t>3874/16170</t>
  </si>
  <si>
    <t>0.90, 1.09</t>
    <phoneticPr fontId="2" type="noConversion"/>
  </si>
  <si>
    <t>0.85, 1.04</t>
    <phoneticPr fontId="2" type="noConversion"/>
  </si>
  <si>
    <t>RR</t>
    <phoneticPr fontId="2" type="noConversion"/>
  </si>
  <si>
    <t>0.89, 1.10</t>
    <phoneticPr fontId="2" type="noConversion"/>
  </si>
  <si>
    <t>Q5</t>
  </si>
  <si>
    <t>0.94, 1.15</t>
    <phoneticPr fontId="2" type="noConversion"/>
  </si>
  <si>
    <t>Q1</t>
    <phoneticPr fontId="2" type="noConversion"/>
  </si>
  <si>
    <t>2777/16170</t>
    <phoneticPr fontId="2" type="noConversion"/>
  </si>
  <si>
    <t>0.84, 1.05</t>
    <phoneticPr fontId="2" type="noConversion"/>
  </si>
  <si>
    <t>0.80, 1.01</t>
    <phoneticPr fontId="2" type="noConversion"/>
  </si>
  <si>
    <t>0.83, 1.06</t>
    <phoneticPr fontId="2" type="noConversion"/>
  </si>
  <si>
    <t>0.87, 1.12</t>
    <phoneticPr fontId="2" type="noConversion"/>
  </si>
  <si>
    <t>M</t>
    <phoneticPr fontId="2" type="noConversion"/>
  </si>
  <si>
    <t>478, median</t>
    <phoneticPr fontId="2" type="noConversion"/>
  </si>
  <si>
    <t>Reference</t>
    <phoneticPr fontId="2" type="noConversion"/>
  </si>
  <si>
    <t>7904/21905</t>
    <phoneticPr fontId="2" type="noConversion"/>
  </si>
  <si>
    <t>0.85, 0.98</t>
    <phoneticPr fontId="2" type="noConversion"/>
  </si>
  <si>
    <t>0.89, 1.03</t>
    <phoneticPr fontId="2" type="noConversion"/>
  </si>
  <si>
    <t>0.85, 0.99</t>
    <phoneticPr fontId="2" type="noConversion"/>
  </si>
  <si>
    <t>0.97, 1.12</t>
    <phoneticPr fontId="2" type="noConversion"/>
  </si>
  <si>
    <t>Heart disease deaths</t>
    <phoneticPr fontId="2" type="noConversion"/>
  </si>
  <si>
    <t>0.82, 0.96</t>
    <phoneticPr fontId="2" type="noConversion"/>
  </si>
  <si>
    <t>0.90, 1.05</t>
    <phoneticPr fontId="2" type="noConversion"/>
  </si>
  <si>
    <t>0.85, 1.00</t>
    <phoneticPr fontId="2" type="noConversion"/>
  </si>
  <si>
    <t>0.97. 1.14</t>
    <phoneticPr fontId="2" type="noConversion"/>
  </si>
  <si>
    <t>Cerebrovascular diease deaths</t>
    <phoneticPr fontId="2" type="noConversion"/>
  </si>
  <si>
    <t>860/16170</t>
    <phoneticPr fontId="2" type="noConversion"/>
  </si>
  <si>
    <t>1.00, 1.52</t>
    <phoneticPr fontId="2" type="noConversion"/>
  </si>
  <si>
    <t>0.81, 1.27</t>
    <phoneticPr fontId="2" type="noConversion"/>
  </si>
  <si>
    <t>nd</t>
    <phoneticPr fontId="2" type="noConversion"/>
  </si>
  <si>
    <t>0.97, 1.51</t>
    <phoneticPr fontId="2" type="noConversion"/>
  </si>
  <si>
    <t>0.95, 1.51</t>
    <phoneticPr fontId="2" type="noConversion"/>
  </si>
  <si>
    <t>0.77, 1.10</t>
    <phoneticPr fontId="2" type="noConversion"/>
  </si>
  <si>
    <t>0.74, 1.08</t>
    <phoneticPr fontId="2" type="noConversion"/>
  </si>
  <si>
    <t>0.73, 1.07</t>
    <phoneticPr fontId="2" type="noConversion"/>
  </si>
  <si>
    <t>0.85, 1.23</t>
    <phoneticPr fontId="2" type="noConversion"/>
  </si>
  <si>
    <t>Cerebrovascular diease deaths</t>
    <phoneticPr fontId="2" type="noConversion"/>
  </si>
  <si>
    <t>1146/21905</t>
    <phoneticPr fontId="2" type="noConversion"/>
  </si>
  <si>
    <t>6282/21905</t>
    <phoneticPr fontId="2" type="noConversion"/>
  </si>
  <si>
    <t>CVD events, total</t>
  </si>
  <si>
    <t>None</t>
    <phoneticPr fontId="2" type="noConversion"/>
  </si>
  <si>
    <t>4545/74245</t>
    <phoneticPr fontId="2" type="noConversion"/>
  </si>
  <si>
    <t>1-100</t>
    <phoneticPr fontId="2" type="noConversion"/>
  </si>
  <si>
    <t>0.84, 1.12</t>
    <phoneticPr fontId="2" type="noConversion"/>
  </si>
  <si>
    <t>101-500</t>
    <phoneticPr fontId="2" type="noConversion"/>
  </si>
  <si>
    <t>0.81, 0.95</t>
    <phoneticPr fontId="2" type="noConversion"/>
  </si>
  <si>
    <t>501-1000</t>
    <phoneticPr fontId="2" type="noConversion"/>
  </si>
  <si>
    <t>0.76, 0.92</t>
    <phoneticPr fontId="2" type="noConversion"/>
  </si>
  <si>
    <t>&gt; 1000</t>
    <phoneticPr fontId="2" type="noConversion"/>
  </si>
  <si>
    <t>0.74, 0.92</t>
    <phoneticPr fontId="2" type="noConversion"/>
  </si>
  <si>
    <t>Cardiac events, total</t>
  </si>
  <si>
    <t>None</t>
    <phoneticPr fontId="2" type="noConversion"/>
  </si>
  <si>
    <t>RR</t>
    <phoneticPr fontId="2" type="noConversion"/>
  </si>
  <si>
    <t>ref</t>
    <phoneticPr fontId="2" type="noConversion"/>
  </si>
  <si>
    <t>&lt;0.0001</t>
    <phoneticPr fontId="2" type="noConversion"/>
  </si>
  <si>
    <t>2709/74245</t>
    <phoneticPr fontId="2" type="noConversion"/>
  </si>
  <si>
    <t>0.80, 1.16</t>
    <phoneticPr fontId="2" type="noConversion"/>
  </si>
  <si>
    <t>0.78, 0.95</t>
    <phoneticPr fontId="2" type="noConversion"/>
  </si>
  <si>
    <t>501-1000</t>
    <phoneticPr fontId="2" type="noConversion"/>
  </si>
  <si>
    <t>RR</t>
    <phoneticPr fontId="2" type="noConversion"/>
  </si>
  <si>
    <t>0.72, 0.91</t>
    <phoneticPr fontId="2" type="noConversion"/>
  </si>
  <si>
    <t>0.61, 0.83</t>
    <phoneticPr fontId="2" type="noConversion"/>
  </si>
  <si>
    <t>W</t>
    <phoneticPr fontId="2" type="noConversion"/>
  </si>
  <si>
    <t>Cardiac deaths</t>
  </si>
  <si>
    <t>RR</t>
    <phoneticPr fontId="2" type="noConversion"/>
  </si>
  <si>
    <t>ref</t>
    <phoneticPr fontId="2" type="noConversion"/>
  </si>
  <si>
    <t>558/74245</t>
    <phoneticPr fontId="2" type="noConversion"/>
  </si>
  <si>
    <t>1-100</t>
    <phoneticPr fontId="2" type="noConversion"/>
  </si>
  <si>
    <t>0.65, 1.43</t>
    <phoneticPr fontId="2" type="noConversion"/>
  </si>
  <si>
    <t>101-500</t>
    <phoneticPr fontId="2" type="noConversion"/>
  </si>
  <si>
    <t>RR</t>
    <phoneticPr fontId="2" type="noConversion"/>
  </si>
  <si>
    <t>0.66, 1.03</t>
    <phoneticPr fontId="2" type="noConversion"/>
  </si>
  <si>
    <t>0.67, 1.14</t>
    <phoneticPr fontId="2" type="noConversion"/>
  </si>
  <si>
    <t>0.50, 1.00</t>
    <phoneticPr fontId="2" type="noConversion"/>
  </si>
  <si>
    <t>W</t>
  </si>
  <si>
    <t>Cardiac events, nonfatal</t>
  </si>
  <si>
    <t>2151/74245</t>
    <phoneticPr fontId="2" type="noConversion"/>
  </si>
  <si>
    <t>1-100</t>
    <phoneticPr fontId="2" type="noConversion"/>
  </si>
  <si>
    <t>RR</t>
    <phoneticPr fontId="2" type="noConversion"/>
  </si>
  <si>
    <t>0.79, 1.2</t>
  </si>
  <si>
    <t>0.82, 1.02</t>
  </si>
  <si>
    <t>0.74, 0.97</t>
  </si>
  <si>
    <t>0.65, 0.91</t>
  </si>
  <si>
    <t>total stroke</t>
    <phoneticPr fontId="2" type="noConversion"/>
  </si>
  <si>
    <t>RR</t>
    <phoneticPr fontId="2" type="noConversion"/>
  </si>
  <si>
    <t>ref</t>
    <phoneticPr fontId="2" type="noConversion"/>
  </si>
  <si>
    <t>1856/74245</t>
    <phoneticPr fontId="2" type="noConversion"/>
  </si>
  <si>
    <t>1-100</t>
  </si>
  <si>
    <t>RR</t>
    <phoneticPr fontId="2" type="noConversion"/>
  </si>
  <si>
    <t>0.78, 1.24</t>
    <phoneticPr fontId="2" type="noConversion"/>
  </si>
  <si>
    <t>101-500</t>
  </si>
  <si>
    <t>0.82, 1.05</t>
    <phoneticPr fontId="2" type="noConversion"/>
  </si>
  <si>
    <t>501-1000</t>
  </si>
  <si>
    <t>0.78, 1.05</t>
    <phoneticPr fontId="2" type="noConversion"/>
  </si>
  <si>
    <t>&gt; 1000 mg/d</t>
    <phoneticPr fontId="2" type="noConversion"/>
  </si>
  <si>
    <t>0.87, 1.21</t>
    <phoneticPr fontId="2" type="noConversion"/>
  </si>
  <si>
    <t>ischemic stroke</t>
    <phoneticPr fontId="2" type="noConversion"/>
  </si>
  <si>
    <t>None</t>
    <phoneticPr fontId="2" type="noConversion"/>
  </si>
  <si>
    <t>ref</t>
    <phoneticPr fontId="2" type="noConversion"/>
  </si>
  <si>
    <t>1449/74245</t>
    <phoneticPr fontId="2" type="noConversion"/>
  </si>
  <si>
    <t>0.70, 1.19</t>
    <phoneticPr fontId="2" type="noConversion"/>
  </si>
  <si>
    <t>0.83, 1.10</t>
    <phoneticPr fontId="2" type="noConversion"/>
  </si>
  <si>
    <t>0.73, 1.01</t>
    <phoneticPr fontId="2" type="noConversion"/>
  </si>
  <si>
    <t>&gt; 1000 mg/d</t>
    <phoneticPr fontId="2" type="noConversion"/>
  </si>
  <si>
    <t>0.79, 1.16</t>
    <phoneticPr fontId="2" type="noConversion"/>
  </si>
  <si>
    <t>Hemorrhagic stroke</t>
    <phoneticPr fontId="2" type="noConversion"/>
  </si>
  <si>
    <t>RR</t>
    <phoneticPr fontId="2" type="noConversion"/>
  </si>
  <si>
    <t>ref</t>
    <phoneticPr fontId="2" type="noConversion"/>
  </si>
  <si>
    <t>407/74245</t>
    <phoneticPr fontId="2" type="noConversion"/>
  </si>
  <si>
    <t>0.80, 2.02</t>
    <phoneticPr fontId="2" type="noConversion"/>
  </si>
  <si>
    <t>0.62, 1.08</t>
    <phoneticPr fontId="2" type="noConversion"/>
  </si>
  <si>
    <t>0.81, 1.48</t>
    <phoneticPr fontId="2" type="noConversion"/>
  </si>
  <si>
    <t>&gt; 1000 mg/d</t>
    <phoneticPr fontId="2" type="noConversion"/>
  </si>
  <si>
    <t>0.94, 1.87</t>
    <phoneticPr fontId="2" type="noConversion"/>
  </si>
  <si>
    <t>&lt;500</t>
    <phoneticPr fontId="2" type="noConversion"/>
  </si>
  <si>
    <t>0.86, 1.74</t>
    <phoneticPr fontId="2" type="noConversion"/>
  </si>
  <si>
    <t>nd</t>
    <phoneticPr fontId="2" type="noConversion"/>
  </si>
  <si>
    <t>500-1000</t>
    <phoneticPr fontId="2" type="noConversion"/>
  </si>
  <si>
    <t>0.69, 1.47</t>
    <phoneticPr fontId="2" type="noConversion"/>
  </si>
  <si>
    <t>1000-1300</t>
    <phoneticPr fontId="2" type="noConversion"/>
  </si>
  <si>
    <t>HR</t>
    <phoneticPr fontId="2" type="noConversion"/>
  </si>
  <si>
    <t>1300-2000</t>
    <phoneticPr fontId="2" type="noConversion"/>
  </si>
  <si>
    <t>0.49, 1.47</t>
    <phoneticPr fontId="2" type="noConversion"/>
  </si>
  <si>
    <t>&gt;2000</t>
    <phoneticPr fontId="2" type="noConversion"/>
  </si>
  <si>
    <t>0.44, 1.62</t>
    <phoneticPr fontId="2" type="noConversion"/>
  </si>
  <si>
    <t>total intake</t>
    <phoneticPr fontId="2" type="noConversion"/>
  </si>
  <si>
    <t>0.83, 2.39</t>
    <phoneticPr fontId="2" type="noConversion"/>
  </si>
  <si>
    <t>0.667, 2.14</t>
    <phoneticPr fontId="2" type="noConversion"/>
  </si>
  <si>
    <t>0.35, 1.52</t>
    <phoneticPr fontId="2" type="noConversion"/>
  </si>
  <si>
    <t>0.32, 2.62</t>
    <phoneticPr fontId="2" type="noConversion"/>
  </si>
  <si>
    <t>dietary intake</t>
    <phoneticPr fontId="2" type="noConversion"/>
  </si>
  <si>
    <t>&lt;500</t>
  </si>
  <si>
    <t>nd</t>
    <phoneticPr fontId="2" type="noConversion"/>
  </si>
  <si>
    <t>0.58, 1.28</t>
    <phoneticPr fontId="2" type="noConversion"/>
  </si>
  <si>
    <t>Q2</t>
    <phoneticPr fontId="2" type="noConversion"/>
  </si>
  <si>
    <t>500-1000</t>
  </si>
  <si>
    <t>0.59, 1.26</t>
    <phoneticPr fontId="2" type="noConversion"/>
  </si>
  <si>
    <t>Q3</t>
    <phoneticPr fontId="2" type="noConversion"/>
  </si>
  <si>
    <t>1000-1300</t>
  </si>
  <si>
    <t>Q4</t>
    <phoneticPr fontId="2" type="noConversion"/>
  </si>
  <si>
    <t>&gt;1300</t>
  </si>
  <si>
    <t>0.61, 1.97</t>
    <phoneticPr fontId="2" type="noConversion"/>
  </si>
  <si>
    <t>0.57, 2.21</t>
    <phoneticPr fontId="2" type="noConversion"/>
  </si>
  <si>
    <t>0.63, 1.99</t>
    <phoneticPr fontId="2" type="noConversion"/>
  </si>
  <si>
    <t>Q3</t>
    <phoneticPr fontId="2" type="noConversion"/>
  </si>
  <si>
    <t>0.43, 2.15</t>
    <phoneticPr fontId="2" type="noConversion"/>
  </si>
  <si>
    <t>Q2</t>
    <phoneticPr fontId="2" type="noConversion"/>
  </si>
  <si>
    <t>0-1000</t>
  </si>
  <si>
    <t>0.69, 1.19</t>
    <phoneticPr fontId="2" type="noConversion"/>
  </si>
  <si>
    <t>1000-2000</t>
  </si>
  <si>
    <t>0.33, 1.30</t>
    <phoneticPr fontId="2" type="noConversion"/>
  </si>
  <si>
    <t>Q4</t>
    <phoneticPr fontId="2" type="noConversion"/>
  </si>
  <si>
    <t>≥2000</t>
  </si>
  <si>
    <t>0.54,1.25</t>
    <phoneticPr fontId="2" type="noConversion"/>
  </si>
  <si>
    <t>IHD death</t>
    <phoneticPr fontId="2" type="noConversion"/>
  </si>
  <si>
    <t>nd</t>
    <phoneticPr fontId="2" type="noConversion"/>
  </si>
  <si>
    <t>HR</t>
    <phoneticPr fontId="2" type="noConversion"/>
  </si>
  <si>
    <t>0-1000</t>
    <phoneticPr fontId="2" type="noConversion"/>
  </si>
  <si>
    <t>nd</t>
    <phoneticPr fontId="2" type="noConversion"/>
  </si>
  <si>
    <t>HR</t>
    <phoneticPr fontId="2" type="noConversion"/>
  </si>
  <si>
    <t>0.79, 1.45</t>
    <phoneticPr fontId="2" type="noConversion"/>
  </si>
  <si>
    <t>1000-2000</t>
    <phoneticPr fontId="2" type="noConversion"/>
  </si>
  <si>
    <t>0.29, 1.53</t>
    <phoneticPr fontId="2" type="noConversion"/>
  </si>
  <si>
    <t>≥2000</t>
    <phoneticPr fontId="2" type="noConversion"/>
  </si>
  <si>
    <t>0.38, 2.28</t>
    <phoneticPr fontId="2" type="noConversion"/>
  </si>
  <si>
    <t>0.79, 1.97</t>
    <phoneticPr fontId="2" type="noConversion"/>
  </si>
  <si>
    <t>0.83, 1.57</t>
    <phoneticPr fontId="2" type="noConversion"/>
  </si>
  <si>
    <t>0.52, 1.26</t>
    <phoneticPr fontId="2" type="noConversion"/>
  </si>
  <si>
    <t>0.44, 2.29</t>
    <phoneticPr fontId="2" type="noConversion"/>
  </si>
  <si>
    <t>M</t>
    <phoneticPr fontId="2" type="noConversion"/>
  </si>
  <si>
    <t>total intake</t>
    <phoneticPr fontId="2" type="noConversion"/>
  </si>
  <si>
    <t>0.61, 1.82</t>
    <phoneticPr fontId="2" type="noConversion"/>
  </si>
  <si>
    <t>0.68, 1.56</t>
    <phoneticPr fontId="2" type="noConversion"/>
  </si>
  <si>
    <t>0.25, 0.98</t>
    <phoneticPr fontId="2" type="noConversion"/>
  </si>
  <si>
    <t>0.34, 2.85</t>
    <phoneticPr fontId="2" type="noConversion"/>
  </si>
  <si>
    <t>0.79, .190</t>
    <phoneticPr fontId="2" type="noConversion"/>
  </si>
  <si>
    <t>0.81, 1.40</t>
    <phoneticPr fontId="2" type="noConversion"/>
  </si>
  <si>
    <t>0.50. 1.22</t>
    <phoneticPr fontId="2" type="noConversion"/>
  </si>
  <si>
    <t>0.66, 1.96</t>
    <phoneticPr fontId="2" type="noConversion"/>
  </si>
  <si>
    <t>0.66, 1.47</t>
    <phoneticPr fontId="2" type="noConversion"/>
  </si>
  <si>
    <t>0.28, 1.31</t>
    <phoneticPr fontId="2" type="noConversion"/>
  </si>
  <si>
    <t>0.50, 1.21</t>
    <phoneticPr fontId="2" type="noConversion"/>
  </si>
  <si>
    <t>0.32, 2.45</t>
    <phoneticPr fontId="2" type="noConversion"/>
  </si>
  <si>
    <t>0.37, 5.66</t>
    <phoneticPr fontId="2" type="noConversion"/>
  </si>
  <si>
    <t>0.43, 1.32</t>
    <phoneticPr fontId="2" type="noConversion"/>
  </si>
  <si>
    <t>0.32, 3.22</t>
    <phoneticPr fontId="2" type="noConversion"/>
  </si>
  <si>
    <t>0.13, 6.67</t>
    <phoneticPr fontId="2" type="noConversion"/>
  </si>
  <si>
    <t>CVD deaths</t>
  </si>
  <si>
    <t>0.77-1.49</t>
    <phoneticPr fontId="2" type="noConversion"/>
  </si>
  <si>
    <t>1870/18714</t>
  </si>
  <si>
    <t>500-1000</t>
    <phoneticPr fontId="2" type="noConversion"/>
  </si>
  <si>
    <t>0.82, 1.38</t>
    <phoneticPr fontId="2" type="noConversion"/>
  </si>
  <si>
    <t>1000-1300</t>
    <phoneticPr fontId="2" type="noConversion"/>
  </si>
  <si>
    <t>0.59, 1.25</t>
    <phoneticPr fontId="2" type="noConversion"/>
  </si>
  <si>
    <t>0.52, 1.95</t>
    <phoneticPr fontId="2" type="noConversion"/>
  </si>
  <si>
    <t>IHD deaths</t>
  </si>
  <si>
    <t>0.71, 1.61</t>
    <phoneticPr fontId="2" type="noConversion"/>
  </si>
  <si>
    <t>1006/18714</t>
    <phoneticPr fontId="2" type="noConversion"/>
  </si>
  <si>
    <t>0.75, 1.56</t>
    <phoneticPr fontId="2" type="noConversion"/>
  </si>
  <si>
    <t>0.35, 1.03</t>
    <phoneticPr fontId="2" type="noConversion"/>
  </si>
  <si>
    <t>0.44, 2.58</t>
    <phoneticPr fontId="2" type="noConversion"/>
  </si>
  <si>
    <t>Acute MI deaths</t>
  </si>
  <si>
    <t>0.76, 2.22</t>
    <phoneticPr fontId="2" type="noConversion"/>
  </si>
  <si>
    <t>0.87, 1.76</t>
    <phoneticPr fontId="2" type="noConversion"/>
  </si>
  <si>
    <t>1000-1300</t>
    <phoneticPr fontId="2" type="noConversion"/>
  </si>
  <si>
    <t>0.42, 1.95</t>
    <phoneticPr fontId="2" type="noConversion"/>
  </si>
  <si>
    <t>0.34, 1.96</t>
    <phoneticPr fontId="2" type="noConversion"/>
  </si>
  <si>
    <t>Heart Failure deaths</t>
  </si>
  <si>
    <t>0.70, 5.13</t>
    <phoneticPr fontId="2" type="noConversion"/>
  </si>
  <si>
    <t>133/18714</t>
    <phoneticPr fontId="2" type="noConversion"/>
  </si>
  <si>
    <t>0.59, 4.05</t>
    <phoneticPr fontId="2" type="noConversion"/>
  </si>
  <si>
    <t>nd</t>
    <phoneticPr fontId="2" type="noConversion"/>
  </si>
  <si>
    <t>1000-1300</t>
    <phoneticPr fontId="2" type="noConversion"/>
  </si>
  <si>
    <t>0.40, 5.68</t>
    <phoneticPr fontId="2" type="noConversion"/>
  </si>
  <si>
    <t>0.50, 11.91</t>
    <phoneticPr fontId="2" type="noConversion"/>
  </si>
  <si>
    <t>HR</t>
    <phoneticPr fontId="2" type="noConversion"/>
  </si>
  <si>
    <t>0.75, 1.41</t>
  </si>
  <si>
    <t>1870/18714</t>
    <phoneticPr fontId="2" type="noConversion"/>
  </si>
  <si>
    <t>0.76, 1.26</t>
  </si>
  <si>
    <t>0.59, 1.35</t>
  </si>
  <si>
    <t>0.74, 1.71</t>
  </si>
  <si>
    <t>0.69. 1.46</t>
  </si>
  <si>
    <t>0.38, 1.31</t>
  </si>
  <si>
    <t>0.76, 2.30</t>
    <phoneticPr fontId="2" type="noConversion"/>
  </si>
  <si>
    <t>nd</t>
    <phoneticPr fontId="2" type="noConversion"/>
  </si>
  <si>
    <t>0.80, 1.79</t>
    <phoneticPr fontId="2" type="noConversion"/>
  </si>
  <si>
    <t>nd</t>
    <phoneticPr fontId="2" type="noConversion"/>
  </si>
  <si>
    <t>0.41, 1.55</t>
    <phoneticPr fontId="2" type="noConversion"/>
  </si>
  <si>
    <t>0.59, 4.37</t>
    <phoneticPr fontId="2" type="noConversion"/>
  </si>
  <si>
    <t>133/18714</t>
    <phoneticPr fontId="2" type="noConversion"/>
  </si>
  <si>
    <t>0.52, 3.73</t>
    <phoneticPr fontId="2" type="noConversion"/>
  </si>
  <si>
    <t>0.45, 6.83</t>
    <phoneticPr fontId="2" type="noConversion"/>
  </si>
  <si>
    <t>1870/18714</t>
    <phoneticPr fontId="2" type="noConversion"/>
  </si>
  <si>
    <t>0-500</t>
  </si>
  <si>
    <t>0.66, 1.09</t>
  </si>
  <si>
    <t>nd</t>
    <phoneticPr fontId="2" type="noConversion"/>
  </si>
  <si>
    <t>0.49, 1.13</t>
  </si>
  <si>
    <t>0.59, 1.44</t>
  </si>
  <si>
    <t>&gt;2000</t>
  </si>
  <si>
    <t>0.27, 9.75</t>
  </si>
  <si>
    <t>ref</t>
    <phoneticPr fontId="2" type="noConversion"/>
  </si>
  <si>
    <t>1006/18714</t>
    <phoneticPr fontId="2" type="noConversion"/>
  </si>
  <si>
    <t>0.68, 1.19</t>
    <phoneticPr fontId="2" type="noConversion"/>
  </si>
  <si>
    <t>0.40, 1.32</t>
    <phoneticPr fontId="2" type="noConversion"/>
  </si>
  <si>
    <t>0.42, 2.15</t>
    <phoneticPr fontId="2" type="noConversion"/>
  </si>
  <si>
    <t>NA</t>
    <phoneticPr fontId="2" type="noConversion"/>
  </si>
  <si>
    <t>0.46, 1.37</t>
    <phoneticPr fontId="2" type="noConversion"/>
  </si>
  <si>
    <t>0.52, 2.82</t>
    <phoneticPr fontId="2" type="noConversion"/>
  </si>
  <si>
    <t>0.37, 3.54</t>
    <phoneticPr fontId="2" type="noConversion"/>
  </si>
  <si>
    <t>0.25, 2.06</t>
    <phoneticPr fontId="2" type="noConversion"/>
  </si>
  <si>
    <t>0.07, 4.01</t>
    <phoneticPr fontId="2" type="noConversion"/>
  </si>
  <si>
    <t>0.57, 12.13</t>
    <phoneticPr fontId="2" type="noConversion"/>
  </si>
  <si>
    <t>0.37, 1.68</t>
  </si>
  <si>
    <t>352/18714</t>
    <phoneticPr fontId="2" type="noConversion"/>
  </si>
  <si>
    <t>nd</t>
    <phoneticPr fontId="2" type="noConversion"/>
  </si>
  <si>
    <t>0.53, 1.74</t>
  </si>
  <si>
    <t>0.37, 2.07</t>
  </si>
  <si>
    <t>352/18714</t>
    <phoneticPr fontId="2" type="noConversion"/>
  </si>
  <si>
    <t>0.50, 1.32</t>
  </si>
  <si>
    <t>0.20, 3.20</t>
  </si>
  <si>
    <t>0.08, 2.16</t>
  </si>
  <si>
    <t>0.47, 1.56</t>
  </si>
  <si>
    <t>0.59, 1.69</t>
  </si>
  <si>
    <t>1300-2000</t>
  </si>
  <si>
    <t>0.49, 2.25</t>
  </si>
  <si>
    <t>0.05, 0.76</t>
  </si>
  <si>
    <t>All</t>
    <phoneticPr fontId="2" type="noConversion"/>
  </si>
  <si>
    <t>total intake</t>
    <phoneticPr fontId="2" type="noConversion"/>
  </si>
  <si>
    <t>supplemental intake</t>
    <phoneticPr fontId="2" type="noConversion"/>
  </si>
  <si>
    <t>Heart Failure deaths</t>
    <phoneticPr fontId="2" type="noConversion"/>
  </si>
  <si>
    <t>Acute MI deaths</t>
    <phoneticPr fontId="2" type="noConversion"/>
  </si>
  <si>
    <t>Cerebral disease death</t>
    <phoneticPr fontId="2" type="noConversion"/>
  </si>
  <si>
    <t>114/3139</t>
    <phoneticPr fontId="2" type="noConversion"/>
  </si>
  <si>
    <t>0.46, 1.3</t>
    <phoneticPr fontId="2" type="noConversion"/>
  </si>
  <si>
    <t>0.46, 1.33</t>
    <phoneticPr fontId="2" type="noConversion"/>
  </si>
  <si>
    <t>0.44, 1.30</t>
    <phoneticPr fontId="2" type="noConversion"/>
  </si>
  <si>
    <t>&lt;458 for men,  &lt;417 for women</t>
    <phoneticPr fontId="2" type="noConversion"/>
  </si>
  <si>
    <t>&gt;458 to &lt;584 for men, &gt;417 to &lt;529 for women</t>
    <phoneticPr fontId="2" type="noConversion"/>
  </si>
  <si>
    <t>&gt;584 to &lt;762 for men, &gt;529 to &lt;688 for women</t>
    <phoneticPr fontId="2" type="noConversion"/>
  </si>
  <si>
    <t>&gt;762  for men,  &gt;688 for women</t>
    <phoneticPr fontId="2" type="noConversion"/>
  </si>
  <si>
    <t>Li, 2012 (ref) [Germany];
Heidelberg cohort</t>
    <phoneticPr fontId="2" type="noConversion"/>
  </si>
  <si>
    <t>MI</t>
    <phoneticPr fontId="2" type="noConversion"/>
  </si>
  <si>
    <t>nd</t>
    <phoneticPr fontId="2" type="noConversion"/>
  </si>
  <si>
    <t>513, mean</t>
    <phoneticPr fontId="2" type="noConversion"/>
  </si>
  <si>
    <t>354/23980</t>
    <phoneticPr fontId="2" type="noConversion"/>
  </si>
  <si>
    <t>0.7, 1.25</t>
    <phoneticPr fontId="2" type="noConversion"/>
  </si>
  <si>
    <t>0.5, 0.94</t>
    <phoneticPr fontId="2" type="noConversion"/>
  </si>
  <si>
    <t>0.63, 1.16</t>
    <phoneticPr fontId="2" type="noConversion"/>
  </si>
  <si>
    <t>513, mean</t>
    <phoneticPr fontId="2" type="noConversion"/>
  </si>
  <si>
    <t>267/23980</t>
    <phoneticPr fontId="2" type="noConversion"/>
  </si>
  <si>
    <t>0.95, 1.88</t>
    <phoneticPr fontId="2" type="noConversion"/>
  </si>
  <si>
    <t>0.80, 1.65</t>
    <phoneticPr fontId="2" type="noConversion"/>
  </si>
  <si>
    <t>0.82, 1.72</t>
    <phoneticPr fontId="2" type="noConversion"/>
  </si>
  <si>
    <t>total stroke</t>
  </si>
  <si>
    <t>260/23980</t>
    <phoneticPr fontId="2" type="noConversion"/>
  </si>
  <si>
    <t>1.06, 2.11</t>
    <phoneticPr fontId="2" type="noConversion"/>
  </si>
  <si>
    <t>0.86, 1.79</t>
    <phoneticPr fontId="2" type="noConversion"/>
  </si>
  <si>
    <t>0.76, 1.65</t>
    <phoneticPr fontId="2" type="noConversion"/>
  </si>
  <si>
    <t>&lt;797</t>
  </si>
  <si>
    <t>798-1037</t>
  </si>
  <si>
    <t>0.77, 1.19</t>
  </si>
  <si>
    <t>1038-1315</t>
  </si>
  <si>
    <t>0.67, 1.13</t>
  </si>
  <si>
    <t>&gt;1316</t>
  </si>
  <si>
    <t>0.68, 1.19</t>
  </si>
  <si>
    <t>&lt;814</t>
    <phoneticPr fontId="2" type="noConversion"/>
  </si>
  <si>
    <t>631/36094</t>
    <phoneticPr fontId="2" type="noConversion"/>
  </si>
  <si>
    <t>815-1065</t>
  </si>
  <si>
    <t>0.76, 1.18</t>
    <phoneticPr fontId="2" type="noConversion"/>
  </si>
  <si>
    <t>1066-1362</t>
  </si>
  <si>
    <t>0.65, 1.06</t>
    <phoneticPr fontId="2" type="noConversion"/>
  </si>
  <si>
    <t>&gt;1363</t>
    <phoneticPr fontId="2" type="noConversion"/>
  </si>
  <si>
    <t>0.75, 1.29</t>
    <phoneticPr fontId="2" type="noConversion"/>
  </si>
  <si>
    <t>0.72 (p for linear trend)</t>
    <phoneticPr fontId="2" type="noConversion"/>
  </si>
  <si>
    <t>0.59 (p for linear trend)</t>
    <phoneticPr fontId="2" type="noConversion"/>
  </si>
  <si>
    <t>0.26 (p for nonlinear)</t>
    <phoneticPr fontId="2" type="noConversion"/>
  </si>
  <si>
    <t>0.33 (p for nonlinear)</t>
    <phoneticPr fontId="2" type="noConversion"/>
  </si>
  <si>
    <t>dietary intake</t>
    <phoneticPr fontId="2" type="noConversion"/>
  </si>
  <si>
    <t>606, median (157,763)</t>
    <phoneticPr fontId="2" type="noConversion"/>
  </si>
  <si>
    <t>61/1529</t>
  </si>
  <si>
    <t>886 (763, 1043)</t>
    <phoneticPr fontId="2" type="noConversion"/>
  </si>
  <si>
    <t>0.10, 0.75</t>
    <phoneticPr fontId="2" type="noConversion"/>
  </si>
  <si>
    <t>1267 (10.45, 2596)</t>
    <phoneticPr fontId="2" type="noConversion"/>
  </si>
  <si>
    <t>0.38, 2.56</t>
    <phoneticPr fontId="2" type="noConversion"/>
  </si>
  <si>
    <t>CVD death</t>
  </si>
  <si>
    <t>636, median (157, 796)</t>
    <phoneticPr fontId="2" type="noConversion"/>
  </si>
  <si>
    <t>61/1529</t>
    <phoneticPr fontId="2" type="noConversion"/>
  </si>
  <si>
    <t>932 (796, 1102)</t>
    <phoneticPr fontId="2" type="noConversion"/>
  </si>
  <si>
    <t>0.16, 1.05</t>
  </si>
  <si>
    <t>1351 (1103, 3575)</t>
    <phoneticPr fontId="2" type="noConversion"/>
  </si>
  <si>
    <t>0.52, 3.29</t>
  </si>
  <si>
    <t>362/18714</t>
    <phoneticPr fontId="2" type="noConversion"/>
  </si>
  <si>
    <t>990 (&lt;1230)</t>
    <phoneticPr fontId="2" type="noConversion"/>
  </si>
  <si>
    <t>819/23366</t>
    <phoneticPr fontId="2" type="noConversion"/>
  </si>
  <si>
    <t>1408 (1230-1598)</t>
    <phoneticPr fontId="2" type="noConversion"/>
  </si>
  <si>
    <t>0.75, 1.10</t>
    <phoneticPr fontId="2" type="noConversion"/>
  </si>
  <si>
    <t>1953 (≥1599)</t>
    <phoneticPr fontId="2" type="noConversion"/>
  </si>
  <si>
    <t>0.58, 1.01</t>
    <phoneticPr fontId="2" type="noConversion"/>
  </si>
  <si>
    <t>M</t>
  </si>
  <si>
    <t>RR</t>
  </si>
  <si>
    <t>1458/39800</t>
  </si>
  <si>
    <t>0.88, 1.22</t>
  </si>
  <si>
    <t>0.78, 1.09</t>
  </si>
  <si>
    <t>0.85, 1.19</t>
  </si>
  <si>
    <t>0.79, 1.11</t>
  </si>
  <si>
    <t>1030/39800</t>
  </si>
  <si>
    <t>0.83, 1.23</t>
  </si>
  <si>
    <t>0.78, 1.17</t>
  </si>
  <si>
    <t>0.85, 1.28</t>
  </si>
  <si>
    <t>0.74, 1.14</t>
  </si>
  <si>
    <t>IHD death</t>
  </si>
  <si>
    <t>0.87, 1.50</t>
  </si>
  <si>
    <t>0.67, 1.29</t>
  </si>
  <si>
    <t>0.77, 1.47</t>
  </si>
  <si>
    <t>0.79, 1.51</t>
  </si>
  <si>
    <t>428/39800</t>
    <phoneticPr fontId="2" type="noConversion"/>
  </si>
  <si>
    <t>328/43738</t>
  </si>
  <si>
    <t>0.68, 1.32</t>
  </si>
  <si>
    <t>0.50, 1.03</t>
  </si>
  <si>
    <t>0.60, 1.19</t>
  </si>
  <si>
    <t>0.63, 1.23</t>
  </si>
  <si>
    <t>500, median</t>
    <phoneticPr fontId="2" type="noConversion"/>
  </si>
  <si>
    <t>None</t>
    <phoneticPr fontId="2" type="noConversion"/>
  </si>
  <si>
    <t>Total stroke</t>
    <phoneticPr fontId="2" type="noConversion"/>
  </si>
  <si>
    <t>Totall stroke</t>
    <phoneticPr fontId="2" type="noConversion"/>
  </si>
  <si>
    <t>Total stroke</t>
    <phoneticPr fontId="2" type="noConversion"/>
  </si>
  <si>
    <t>Total IHD events</t>
    <phoneticPr fontId="2" type="noConversion"/>
  </si>
  <si>
    <t>Non fatal MI events</t>
    <phoneticPr fontId="2" type="noConversion"/>
  </si>
  <si>
    <t>T1</t>
    <phoneticPr fontId="2" type="noConversion"/>
  </si>
  <si>
    <t>T2</t>
    <phoneticPr fontId="2" type="noConversion"/>
  </si>
  <si>
    <t>T3</t>
    <phoneticPr fontId="2" type="noConversion"/>
  </si>
  <si>
    <t>T1</t>
    <phoneticPr fontId="2" type="noConversion"/>
  </si>
  <si>
    <t>523, median</t>
    <phoneticPr fontId="2" type="noConversion"/>
  </si>
  <si>
    <t>523, median</t>
    <phoneticPr fontId="2" type="noConversion"/>
  </si>
  <si>
    <t>total intake</t>
    <phoneticPr fontId="2" type="noConversion"/>
  </si>
  <si>
    <t>dietary intake</t>
    <phoneticPr fontId="2" type="noConversion"/>
  </si>
  <si>
    <t xml:space="preserve">supplemental intake </t>
    <phoneticPr fontId="2" type="noConversion"/>
  </si>
  <si>
    <t>497, median</t>
    <phoneticPr fontId="2" type="noConversion"/>
  </si>
  <si>
    <t>57, median</t>
    <phoneticPr fontId="2" type="noConversion"/>
  </si>
  <si>
    <t>RR</t>
    <phoneticPr fontId="2" type="noConversion"/>
  </si>
  <si>
    <t>nd</t>
    <phoneticPr fontId="2" type="noConversion"/>
  </si>
  <si>
    <t>1141/nd</t>
    <phoneticPr fontId="2" type="noConversion"/>
  </si>
  <si>
    <t>0.83, 1.20</t>
    <phoneticPr fontId="2" type="noConversion"/>
  </si>
  <si>
    <t>0.81, 1.17</t>
    <phoneticPr fontId="2" type="noConversion"/>
  </si>
  <si>
    <t>0.71, 1.04</t>
    <phoneticPr fontId="2" type="noConversion"/>
  </si>
  <si>
    <t>0.75, 1.08</t>
    <phoneticPr fontId="2" type="noConversion"/>
  </si>
  <si>
    <t>ref</t>
    <phoneticPr fontId="2" type="noConversion"/>
  </si>
  <si>
    <t>0.71, 1.26</t>
    <phoneticPr fontId="2" type="noConversion"/>
  </si>
  <si>
    <t>0.77, 1.26</t>
    <phoneticPr fontId="2" type="noConversion"/>
  </si>
  <si>
    <t>0.65, 1.38</t>
    <phoneticPr fontId="2" type="noConversion"/>
  </si>
  <si>
    <t>0.66 ,1.17</t>
    <phoneticPr fontId="2" type="noConversion"/>
  </si>
  <si>
    <t>804/nd</t>
    <phoneticPr fontId="2" type="noConversion"/>
  </si>
  <si>
    <t>337/nd</t>
    <phoneticPr fontId="2" type="noConversion"/>
  </si>
  <si>
    <t>0.82, 1.26</t>
    <phoneticPr fontId="2" type="noConversion"/>
  </si>
  <si>
    <t>0.77, 1.21</t>
    <phoneticPr fontId="2" type="noConversion"/>
  </si>
  <si>
    <t>0.75, 1.19</t>
    <phoneticPr fontId="2" type="noConversion"/>
  </si>
  <si>
    <t>0.65, 1.05</t>
    <phoneticPr fontId="2" type="noConversion"/>
  </si>
  <si>
    <t>0.72, 1.44</t>
    <phoneticPr fontId="2" type="noConversion"/>
  </si>
  <si>
    <t>0.76, 1.54</t>
    <phoneticPr fontId="2" type="noConversion"/>
  </si>
  <si>
    <t>0.52, 1.14</t>
    <phoneticPr fontId="2" type="noConversion"/>
  </si>
  <si>
    <t>0.85, 1.71</t>
    <phoneticPr fontId="2" type="noConversion"/>
  </si>
  <si>
    <t>0.76, 1.50</t>
    <phoneticPr fontId="2" type="noConversion"/>
  </si>
  <si>
    <t>0.79, 1.45</t>
    <phoneticPr fontId="2" type="noConversion"/>
  </si>
  <si>
    <t>0.68, 1.67</t>
    <phoneticPr fontId="2" type="noConversion"/>
  </si>
  <si>
    <t>0.74, 1.47</t>
    <phoneticPr fontId="2" type="noConversion"/>
  </si>
  <si>
    <t>0.71, 1.46</t>
    <phoneticPr fontId="2" type="noConversion"/>
  </si>
  <si>
    <t>0.39, 1.18</t>
    <phoneticPr fontId="2" type="noConversion"/>
  </si>
  <si>
    <t>0.55, 1.26</t>
    <phoneticPr fontId="2" type="noConversion"/>
  </si>
  <si>
    <t>0.38, 1.64</t>
    <phoneticPr fontId="2" type="noConversion"/>
  </si>
  <si>
    <t>0.38, 1.15</t>
    <phoneticPr fontId="2" type="noConversion"/>
  </si>
  <si>
    <t>0.34, 1.10</t>
    <phoneticPr fontId="2" type="noConversion"/>
  </si>
  <si>
    <t>&lt;696</t>
  </si>
  <si>
    <t>387/34486</t>
  </si>
  <si>
    <t>696-1051</t>
  </si>
  <si>
    <t>0.45, 0.85</t>
  </si>
  <si>
    <t>1052-1425</t>
  </si>
  <si>
    <t>0.55, 1.03</t>
  </si>
  <si>
    <t>&gt;1425</t>
  </si>
  <si>
    <t>0.47, 0.94</t>
  </si>
  <si>
    <t>0.57, 1.13</t>
  </si>
  <si>
    <t>0.53, 1.11</t>
  </si>
  <si>
    <t>supplemental calcium</t>
  </si>
  <si>
    <t>0.58, 1.00</t>
  </si>
  <si>
    <t>0.64, 1.23</t>
  </si>
  <si>
    <t>690/85764</t>
  </si>
  <si>
    <t>0.63, 1.00</t>
  </si>
  <si>
    <t>0.56, 0.90</t>
  </si>
  <si>
    <t>0.70, 1.09</t>
  </si>
  <si>
    <t>0.66, 1.04</t>
  </si>
  <si>
    <t>Total Ca Intake, mg/d</t>
    <phoneticPr fontId="2" type="noConversion"/>
  </si>
  <si>
    <t>395, median</t>
    <phoneticPr fontId="2" type="noConversion"/>
  </si>
  <si>
    <t>Total stroke</t>
    <phoneticPr fontId="2" type="noConversion"/>
  </si>
  <si>
    <t>subarachnoid hemorrhages</t>
    <phoneticPr fontId="2" type="noConversion"/>
  </si>
  <si>
    <t>ischemic strokes (thrombotic or embolic),</t>
    <phoneticPr fontId="2" type="noConversion"/>
  </si>
  <si>
    <t xml:space="preserve">ischemic strokes excluding embolic infarction of nonatherogenic </t>
    <phoneticPr fontId="2" type="noConversion"/>
  </si>
  <si>
    <t>129/85764</t>
    <phoneticPr fontId="2" type="noConversion"/>
  </si>
  <si>
    <t>74/85764</t>
    <phoneticPr fontId="2" type="noConversion"/>
  </si>
  <si>
    <t>386/85764</t>
    <phoneticPr fontId="2" type="noConversion"/>
  </si>
  <si>
    <t>347/85764</t>
    <phoneticPr fontId="2" type="noConversion"/>
  </si>
  <si>
    <t>0.40, 1.27</t>
    <phoneticPr fontId="2" type="noConversion"/>
  </si>
  <si>
    <t>0.32, 1.06</t>
    <phoneticPr fontId="2" type="noConversion"/>
  </si>
  <si>
    <t>0.73, 1.98</t>
    <phoneticPr fontId="2" type="noConversion"/>
  </si>
  <si>
    <t>0.82, 2.16</t>
    <phoneticPr fontId="2" type="noConversion"/>
  </si>
  <si>
    <t>0.69, 2.53</t>
    <phoneticPr fontId="2" type="noConversion"/>
  </si>
  <si>
    <t>0.40, 1.90</t>
    <phoneticPr fontId="2" type="noConversion"/>
  </si>
  <si>
    <t>0.38, 1.69</t>
    <phoneticPr fontId="2" type="noConversion"/>
  </si>
  <si>
    <t>0.24, 1.30</t>
    <phoneticPr fontId="2" type="noConversion"/>
  </si>
  <si>
    <t>0.56, 1.03</t>
    <phoneticPr fontId="2" type="noConversion"/>
  </si>
  <si>
    <t>0.53, 0.97</t>
    <phoneticPr fontId="2" type="noConversion"/>
  </si>
  <si>
    <t>0.50, 0.93</t>
    <phoneticPr fontId="2" type="noConversion"/>
  </si>
  <si>
    <t>0.53, 0.98</t>
    <phoneticPr fontId="2" type="noConversion"/>
  </si>
  <si>
    <t>0.53, 0.99</t>
    <phoneticPr fontId="2" type="noConversion"/>
  </si>
  <si>
    <t>0.48, 0.91</t>
    <phoneticPr fontId="2" type="noConversion"/>
  </si>
  <si>
    <t>0.45, 0.86</t>
    <phoneticPr fontId="2" type="noConversion"/>
  </si>
  <si>
    <t>0.47, 0.90</t>
    <phoneticPr fontId="2" type="noConversion"/>
  </si>
  <si>
    <t>2702/26556</t>
  </si>
  <si>
    <t>0.95, 1.22</t>
  </si>
  <si>
    <t>0.96, 1.23</t>
  </si>
  <si>
    <t>0.98, 1.26</t>
  </si>
  <si>
    <t>dietary intake</t>
    <phoneticPr fontId="2" type="noConversion"/>
  </si>
  <si>
    <t>876, median</t>
  </si>
  <si>
    <t>876, median</t>
    <phoneticPr fontId="2" type="noConversion"/>
  </si>
  <si>
    <t>Cerebral infarction</t>
    <phoneticPr fontId="2" type="noConversion"/>
  </si>
  <si>
    <t>intraparenchymal hemorrhages</t>
    <phoneticPr fontId="2" type="noConversion"/>
  </si>
  <si>
    <t>intraparenchymal hemorrhage</t>
    <phoneticPr fontId="2" type="noConversion"/>
  </si>
  <si>
    <t>subarachnoid hemorrhage</t>
    <phoneticPr fontId="2" type="noConversion"/>
  </si>
  <si>
    <t>ref</t>
    <phoneticPr fontId="2" type="noConversion"/>
  </si>
  <si>
    <t>0.70, 1.34</t>
    <phoneticPr fontId="2" type="noConversion"/>
  </si>
  <si>
    <t>0.74, 1.42</t>
    <phoneticPr fontId="2" type="noConversion"/>
  </si>
  <si>
    <t>0.87, 1.64</t>
    <phoneticPr fontId="2" type="noConversion"/>
  </si>
  <si>
    <t>0.88, 2.18</t>
    <phoneticPr fontId="2" type="noConversion"/>
  </si>
  <si>
    <t>0.63, 1.68</t>
    <phoneticPr fontId="2" type="noConversion"/>
  </si>
  <si>
    <t>0.79, 2.03</t>
    <phoneticPr fontId="2" type="noConversion"/>
  </si>
  <si>
    <t>0.98, 2.47</t>
    <phoneticPr fontId="2" type="noConversion"/>
  </si>
  <si>
    <t>383/26556</t>
    <phoneticPr fontId="2" type="noConversion"/>
  </si>
  <si>
    <t>196/26556</t>
    <phoneticPr fontId="2" type="noConversion"/>
  </si>
  <si>
    <t>accute MI</t>
  </si>
  <si>
    <t>0.57, 1.37</t>
  </si>
  <si>
    <t>0.70, 1.84</t>
  </si>
  <si>
    <t>0.53, 1.81</t>
  </si>
  <si>
    <t>0.70, 2.55</t>
  </si>
  <si>
    <t>Total stroke</t>
    <phoneticPr fontId="2" type="noConversion"/>
  </si>
  <si>
    <t>T1</t>
    <phoneticPr fontId="2" type="noConversion"/>
  </si>
  <si>
    <t>T2</t>
    <phoneticPr fontId="2" type="noConversion"/>
  </si>
  <si>
    <t>T3</t>
    <phoneticPr fontId="2" type="noConversion"/>
  </si>
  <si>
    <t>ref</t>
    <phoneticPr fontId="2" type="noConversion"/>
  </si>
  <si>
    <t>70/680</t>
    <phoneticPr fontId="2" type="noConversion"/>
  </si>
  <si>
    <t>130/689</t>
    <phoneticPr fontId="2" type="noConversion"/>
  </si>
  <si>
    <t>stroke death</t>
  </si>
  <si>
    <t>245/18244</t>
  </si>
  <si>
    <t>0.6, 1.6</t>
  </si>
  <si>
    <t>0.8, 1.4</t>
  </si>
  <si>
    <t>dietary intake</t>
    <phoneticPr fontId="2" type="noConversion"/>
  </si>
  <si>
    <t>Stroke death</t>
    <phoneticPr fontId="2" type="noConversion"/>
  </si>
  <si>
    <t>CHD death</t>
  </si>
  <si>
    <t>0.47, 1.50</t>
  </si>
  <si>
    <t>0.62, 2.30</t>
  </si>
  <si>
    <t>0.60, 2.68</t>
  </si>
  <si>
    <t>0.37, 2.29</t>
  </si>
  <si>
    <t>0.48, 1.62</t>
  </si>
  <si>
    <t>0.62, 2.61</t>
  </si>
  <si>
    <t>0.35, 2.02</t>
  </si>
  <si>
    <t>0.31, 2.45</t>
  </si>
  <si>
    <t>0.75, 1.30</t>
  </si>
  <si>
    <t>0.64, 1.32</t>
  </si>
  <si>
    <t>0.64, 1.48</t>
  </si>
  <si>
    <t>0.99, 1.67</t>
  </si>
  <si>
    <t>0.90, 1.69</t>
  </si>
  <si>
    <t>0.64, 1.34</t>
  </si>
  <si>
    <t>0.74, 1.74</t>
  </si>
  <si>
    <t>250, median</t>
    <phoneticPr fontId="2" type="noConversion"/>
  </si>
  <si>
    <t>266, median</t>
    <phoneticPr fontId="2" type="noConversion"/>
  </si>
  <si>
    <t>284/21068</t>
  </si>
  <si>
    <t>0.76 ,1.70</t>
  </si>
  <si>
    <t>0.56, 1.45</t>
  </si>
  <si>
    <t>0.40, 1.18</t>
  </si>
  <si>
    <t>0.37, 1.26</t>
  </si>
  <si>
    <t>282/32319</t>
  </si>
  <si>
    <t>0.95, 2.01</t>
  </si>
  <si>
    <t>0.79, 1.95</t>
  </si>
  <si>
    <t>0.51, 1.72</t>
  </si>
  <si>
    <t>250, median</t>
    <phoneticPr fontId="2" type="noConversion"/>
  </si>
  <si>
    <t>Intraparenchymal hemorrhage</t>
    <phoneticPr fontId="2" type="noConversion"/>
  </si>
  <si>
    <t>Total stroke death</t>
    <phoneticPr fontId="2" type="noConversion"/>
  </si>
  <si>
    <t>Hemorrhagic stroke death</t>
    <phoneticPr fontId="2" type="noConversion"/>
  </si>
  <si>
    <t>Intraparenchymal hemorrhage death</t>
    <phoneticPr fontId="2" type="noConversion"/>
  </si>
  <si>
    <t>Subarachnoid hemorrhage death</t>
    <phoneticPr fontId="2" type="noConversion"/>
  </si>
  <si>
    <t>Ischemic stroke death</t>
    <phoneticPr fontId="2" type="noConversion"/>
  </si>
  <si>
    <t>0.52, 1.70</t>
    <phoneticPr fontId="2" type="noConversion"/>
  </si>
  <si>
    <t>0.29, 1.26</t>
    <phoneticPr fontId="2" type="noConversion"/>
  </si>
  <si>
    <t>0.17, 0.93</t>
    <phoneticPr fontId="2" type="noConversion"/>
  </si>
  <si>
    <t>0.22, 1.58</t>
    <phoneticPr fontId="2" type="noConversion"/>
  </si>
  <si>
    <t>0.40, 3.30</t>
    <phoneticPr fontId="2" type="noConversion"/>
  </si>
  <si>
    <t>0.23, 2.78</t>
    <phoneticPr fontId="2" type="noConversion"/>
  </si>
  <si>
    <t>0.09, 1.78</t>
    <phoneticPr fontId="2" type="noConversion"/>
  </si>
  <si>
    <t>0.06,1.92</t>
    <phoneticPr fontId="2" type="noConversion"/>
  </si>
  <si>
    <t>0.67, 2.14</t>
    <phoneticPr fontId="2" type="noConversion"/>
  </si>
  <si>
    <t>0.57, 2.17</t>
    <phoneticPr fontId="2" type="noConversion"/>
  </si>
  <si>
    <t>0.35, 1.59</t>
    <phoneticPr fontId="2" type="noConversion"/>
  </si>
  <si>
    <t>0.30, 1.67</t>
    <phoneticPr fontId="2" type="noConversion"/>
  </si>
  <si>
    <t>0.42, 1.76</t>
    <phoneticPr fontId="2" type="noConversion"/>
  </si>
  <si>
    <t>0.20, 1.39</t>
    <phoneticPr fontId="2" type="noConversion"/>
  </si>
  <si>
    <t>0.13, 1.13</t>
    <phoneticPr fontId="2" type="noConversion"/>
  </si>
  <si>
    <t>0.24, 2.58</t>
    <phoneticPr fontId="2" type="noConversion"/>
  </si>
  <si>
    <t>1.19, 3.85</t>
    <phoneticPr fontId="2" type="noConversion"/>
  </si>
  <si>
    <t>0.96, 3.88</t>
    <phoneticPr fontId="2" type="noConversion"/>
  </si>
  <si>
    <t>0.46, 2.37</t>
    <phoneticPr fontId="2" type="noConversion"/>
  </si>
  <si>
    <t>0.41, 2.59</t>
    <phoneticPr fontId="2" type="noConversion"/>
  </si>
  <si>
    <t>0.90, 4.24</t>
    <phoneticPr fontId="2" type="noConversion"/>
  </si>
  <si>
    <t>0.68, 4.74</t>
    <phoneticPr fontId="2" type="noConversion"/>
  </si>
  <si>
    <t>0.36, 3.87</t>
    <phoneticPr fontId="2" type="noConversion"/>
  </si>
  <si>
    <t>0.41, 5.70</t>
    <phoneticPr fontId="2" type="noConversion"/>
  </si>
  <si>
    <t>ref</t>
    <phoneticPr fontId="2" type="noConversion"/>
  </si>
  <si>
    <t>1.03, 6.24</t>
    <phoneticPr fontId="2" type="noConversion"/>
  </si>
  <si>
    <t>0.78, 6.20</t>
    <phoneticPr fontId="2" type="noConversion"/>
  </si>
  <si>
    <t>0.33, 3.44</t>
    <phoneticPr fontId="2" type="noConversion"/>
  </si>
  <si>
    <t>0.21, 3.06</t>
    <phoneticPr fontId="2" type="noConversion"/>
  </si>
  <si>
    <t>0.57, 1.66</t>
    <phoneticPr fontId="2" type="noConversion"/>
  </si>
  <si>
    <t>0.38, 1.41</t>
    <phoneticPr fontId="2" type="noConversion"/>
  </si>
  <si>
    <t>0.18, .091</t>
    <phoneticPr fontId="2" type="noConversion"/>
  </si>
  <si>
    <t>0.33, 1.95</t>
    <phoneticPr fontId="2" type="noConversion"/>
  </si>
  <si>
    <t>CHD event</t>
  </si>
  <si>
    <t>0.83, 1.68</t>
  </si>
  <si>
    <t>0.60, 1.37</t>
  </si>
  <si>
    <t>0.71, 1.65</t>
  </si>
  <si>
    <t>0.58, 1.50</t>
  </si>
  <si>
    <t>1321/41526</t>
  </si>
  <si>
    <t>0.79, 1.13</t>
  </si>
  <si>
    <t>0.65, 0.97</t>
  </si>
  <si>
    <t>0.63, 0.96</t>
  </si>
  <si>
    <t>0.56, 0.89</t>
  </si>
  <si>
    <t>All</t>
    <phoneticPr fontId="2" type="noConversion"/>
  </si>
  <si>
    <t>total intake</t>
    <phoneticPr fontId="2" type="noConversion"/>
  </si>
  <si>
    <t>148/21068</t>
    <phoneticPr fontId="2" type="noConversion"/>
  </si>
  <si>
    <t>116/32319</t>
    <phoneticPr fontId="2" type="noConversion"/>
  </si>
  <si>
    <t>685/21068</t>
    <phoneticPr fontId="2" type="noConversion"/>
  </si>
  <si>
    <t>644/32319</t>
    <phoneticPr fontId="2" type="noConversion"/>
  </si>
  <si>
    <t>121/21068</t>
    <phoneticPr fontId="2" type="noConversion"/>
  </si>
  <si>
    <t>143/32319</t>
    <phoneticPr fontId="2" type="noConversion"/>
  </si>
  <si>
    <t>80/21068</t>
    <phoneticPr fontId="2" type="noConversion"/>
  </si>
  <si>
    <t>71/32319</t>
    <phoneticPr fontId="2" type="noConversion"/>
  </si>
  <si>
    <t>41/21068</t>
    <phoneticPr fontId="2" type="noConversion"/>
  </si>
  <si>
    <t>72/32319</t>
    <phoneticPr fontId="2" type="noConversion"/>
  </si>
  <si>
    <t>172/21068</t>
    <phoneticPr fontId="2" type="noConversion"/>
  </si>
  <si>
    <t>233, median</t>
    <phoneticPr fontId="2" type="noConversion"/>
  </si>
  <si>
    <t>322/41526</t>
    <phoneticPr fontId="2" type="noConversion"/>
  </si>
  <si>
    <t>Subarachnoid hemorrhage</t>
    <phoneticPr fontId="2" type="noConversion"/>
  </si>
  <si>
    <t>Ischemic stroke</t>
    <phoneticPr fontId="2" type="noConversion"/>
  </si>
  <si>
    <t>0.72, 1.34</t>
    <phoneticPr fontId="2" type="noConversion"/>
  </si>
  <si>
    <t>0.55, 1.12</t>
    <phoneticPr fontId="2" type="noConversion"/>
  </si>
  <si>
    <t>0.60, 1.25</t>
    <phoneticPr fontId="2" type="noConversion"/>
  </si>
  <si>
    <t>0.46, 1.06</t>
    <phoneticPr fontId="2" type="noConversion"/>
  </si>
  <si>
    <t>0.52, 1.21</t>
    <phoneticPr fontId="2" type="noConversion"/>
  </si>
  <si>
    <t>0.30, .082</t>
    <phoneticPr fontId="2" type="noConversion"/>
  </si>
  <si>
    <t>0.38, 1.04</t>
    <phoneticPr fontId="2" type="noConversion"/>
  </si>
  <si>
    <t>0.38, 1.14</t>
    <phoneticPr fontId="2" type="noConversion"/>
  </si>
  <si>
    <t>0.75, 1.26</t>
    <phoneticPr fontId="2" type="noConversion"/>
  </si>
  <si>
    <t>0.70, 1.21</t>
    <phoneticPr fontId="2" type="noConversion"/>
  </si>
  <si>
    <t>0.58, 1.06</t>
    <phoneticPr fontId="2" type="noConversion"/>
  </si>
  <si>
    <t>0.53, 1.02</t>
    <phoneticPr fontId="2" type="noConversion"/>
  </si>
  <si>
    <t>&lt;=585</t>
  </si>
  <si>
    <t>OR</t>
  </si>
  <si>
    <t>0.8, 1.9</t>
  </si>
  <si>
    <t>Q2-4</t>
  </si>
  <si>
    <t>585-1245</t>
  </si>
  <si>
    <t>0.8, 1.5</t>
  </si>
  <si>
    <t>nd</t>
    <phoneticPr fontId="2" type="noConversion"/>
  </si>
  <si>
    <t>&gt;1245</t>
  </si>
  <si>
    <t>&lt;=445</t>
  </si>
  <si>
    <t>0.6, 2.0</t>
  </si>
  <si>
    <t>445-850</t>
  </si>
  <si>
    <t>0.7, 1.7</t>
  </si>
  <si>
    <t>&gt;850</t>
  </si>
  <si>
    <t>0.6,1.6</t>
  </si>
  <si>
    <t>0.6, 1.5</t>
  </si>
  <si>
    <t>0.5, 2.5</t>
  </si>
  <si>
    <t>0.6, 2.3</t>
  </si>
  <si>
    <t>425/41526</t>
    <phoneticPr fontId="2" type="noConversion"/>
  </si>
  <si>
    <t>217/41526</t>
    <phoneticPr fontId="2" type="noConversion"/>
  </si>
  <si>
    <t>664/41526</t>
    <phoneticPr fontId="2" type="noConversion"/>
  </si>
  <si>
    <t>Q3+Q4</t>
  </si>
  <si>
    <t>&gt;591.50</t>
  </si>
  <si>
    <t>132/1772</t>
  </si>
  <si>
    <t>451.24-591.50</t>
  </si>
  <si>
    <t>&lt;451.24</t>
  </si>
  <si>
    <t>All</t>
    <phoneticPr fontId="2" type="noConversion"/>
  </si>
  <si>
    <t>dietary intake</t>
    <phoneticPr fontId="2" type="noConversion"/>
  </si>
  <si>
    <t>0.86, 1.22</t>
  </si>
  <si>
    <t>0.83, 1.40</t>
  </si>
  <si>
    <t>0.78, 1.32</t>
  </si>
  <si>
    <t>0.71, 1.54</t>
  </si>
  <si>
    <t>0.74, 1.16</t>
  </si>
  <si>
    <t>0.54, 1.04</t>
  </si>
  <si>
    <t>0.42, 1.06</t>
  </si>
  <si>
    <t>0.81, 1.31</t>
  </si>
  <si>
    <t>0.78, 1.57</t>
  </si>
  <si>
    <t>CHD death</t>
    <phoneticPr fontId="2" type="noConversion"/>
  </si>
  <si>
    <t>366/1340</t>
    <phoneticPr fontId="2" type="noConversion"/>
  </si>
  <si>
    <t>178/1265</t>
    <phoneticPr fontId="2" type="noConversion"/>
  </si>
  <si>
    <t>204/1340</t>
    <phoneticPr fontId="2" type="noConversion"/>
  </si>
  <si>
    <t>74/1265</t>
    <phoneticPr fontId="2" type="noConversion"/>
  </si>
  <si>
    <t>Heart disease deaths</t>
    <phoneticPr fontId="2" type="noConversion"/>
  </si>
  <si>
    <t>Ischemic Stroke</t>
    <phoneticPr fontId="2" type="noConversion"/>
  </si>
  <si>
    <t>T1</t>
    <phoneticPr fontId="2" type="noConversion"/>
  </si>
  <si>
    <t>nd</t>
    <phoneticPr fontId="2" type="noConversion"/>
  </si>
  <si>
    <t>1147/nd</t>
    <phoneticPr fontId="2" type="noConversion"/>
  </si>
  <si>
    <t>T2</t>
    <phoneticPr fontId="2" type="noConversion"/>
  </si>
  <si>
    <t>T3</t>
    <phoneticPr fontId="2" type="noConversion"/>
  </si>
  <si>
    <t>511/nd</t>
    <phoneticPr fontId="2" type="noConversion"/>
  </si>
  <si>
    <t>W</t>
    <phoneticPr fontId="2" type="noConversion"/>
  </si>
  <si>
    <t>636/nd</t>
    <phoneticPr fontId="2" type="noConversion"/>
  </si>
  <si>
    <t>ref</t>
    <phoneticPr fontId="2" type="noConversion"/>
  </si>
  <si>
    <t>800/nd</t>
    <phoneticPr fontId="2" type="noConversion"/>
  </si>
  <si>
    <t>T2</t>
    <phoneticPr fontId="2" type="noConversion"/>
  </si>
  <si>
    <t>nd</t>
    <phoneticPr fontId="2" type="noConversion"/>
  </si>
  <si>
    <t>T3</t>
    <phoneticPr fontId="2" type="noConversion"/>
  </si>
  <si>
    <t>nd</t>
    <phoneticPr fontId="2" type="noConversion"/>
  </si>
  <si>
    <t>T1</t>
    <phoneticPr fontId="2" type="noConversion"/>
  </si>
  <si>
    <t>ref</t>
    <phoneticPr fontId="2" type="noConversion"/>
  </si>
  <si>
    <t>395/nd</t>
    <phoneticPr fontId="2" type="noConversion"/>
  </si>
  <si>
    <t>405/nd</t>
    <phoneticPr fontId="2" type="noConversion"/>
  </si>
  <si>
    <t>0.67, 1.27</t>
    <phoneticPr fontId="2" type="noConversion"/>
  </si>
  <si>
    <t>0.54, 1.33</t>
    <phoneticPr fontId="2" type="noConversion"/>
  </si>
  <si>
    <t>0.68, 1.25</t>
    <phoneticPr fontId="2" type="noConversion"/>
  </si>
  <si>
    <t>Effective No. in category</t>
    <phoneticPr fontId="2" type="noConversion"/>
  </si>
  <si>
    <t>Effective No.  of cases</t>
    <phoneticPr fontId="2" type="noConversion"/>
  </si>
  <si>
    <t>Effective person-years</t>
    <phoneticPr fontId="2" type="noConversion"/>
  </si>
  <si>
    <t>nd</t>
    <phoneticPr fontId="2" type="noConversion"/>
  </si>
  <si>
    <t>-</t>
  </si>
  <si>
    <t>-</t>
    <phoneticPr fontId="2" type="noConversion"/>
  </si>
  <si>
    <t>-</t>
    <phoneticPr fontId="2" type="noConversion"/>
  </si>
  <si>
    <t xml:space="preserve">ATBC, Alpha-Tocopherol, Beta-Carotene Cancer Prevention Study; CVD, cardiovascular disease; CVD-FACTS, CardioVascular Disease risk FACtor Two-township Study; DM, diabetes mellitus; FFQ, food frequency questionnaire; HPFS, Health Professionals Follow-up Study; IHD, ischemic heart disease; Iowa WHS, Iowa Women’s Health Study; Japan CC, Japan Collaborative Cohort; Japan PHC, Japan Public Health Center study; M, Men; MI, myocardial infarction; NA, not applied; nd, no data; NHANES I, First National Health and Nutrition Examination Survey; NHANES III, the third National Health and Nutrition Examination Survey; NHS, Nurses’ Health Study; SD, standard deviation; U Navarra Follow-up, University of Navarra (Spain) Follow-up Study; W, Women; WHS, Women’s Health Study. SWHS, the Shanghai Women’s Health Study. SMHS, the Shanghai Men’s Health Study. Ref, reference group;  </t>
  </si>
  <si>
    <t>Michaelsson, 2013 [Sweden]; 
Swedish Mammograph cohort</t>
  </si>
  <si>
    <t>Xiao, 2013 [USA]; 
NIH AARP Diet and health</t>
  </si>
  <si>
    <t>Paik, 2014 [USA]; 
NHS cohort</t>
  </si>
  <si>
    <t>Van Hemelrijck, 2013 [USA]; 
NHANES III</t>
  </si>
  <si>
    <t>Chan, 2013 [HongKong];
HK osteopororsis risk cohort</t>
  </si>
  <si>
    <t>Sluijs, 2014 [Netherland];
 EPIC-NL</t>
  </si>
  <si>
    <t>Bonthuis, 2010 [Australia]; 
Austrailian skin prevention cohort</t>
  </si>
  <si>
    <t>Kaluza, 2010 [Sweden];
Cohort of Swedish Men</t>
  </si>
  <si>
    <t>Al-Delaimy, 2003  [US];
HPFS</t>
  </si>
  <si>
    <t>Ascherio, 1998 [US]; 
HPFS</t>
  </si>
  <si>
    <t>Bostick, 1999 [US]; 
Iowa WHS</t>
  </si>
  <si>
    <t>Iso, 1999 [US];
NHS</t>
  </si>
  <si>
    <t>Larsson, 2008 [Finland];
ATBC</t>
  </si>
  <si>
    <t>Marniemi, 2005 
[Finland]</t>
  </si>
  <si>
    <t>Ross, 1997 [China]</t>
  </si>
  <si>
    <t>Umesawa, 2006 [Japan];
Japan CC</t>
  </si>
  <si>
    <t>Umesawa, 2008 [Japan]; 
Japan PHC</t>
  </si>
  <si>
    <t>van der Vijver, 1992 [Netherlands]; 
Dutch civil servants</t>
  </si>
  <si>
    <t>Weng, 2008 [Taiwan]; 
CVD—FACTS</t>
  </si>
  <si>
    <t>Dai, 2013 [China]; SWHS, SMHS</t>
  </si>
  <si>
    <t>0.99, 2.24</t>
  </si>
  <si>
    <t>0.98, 2.35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</si>
</sst>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_ "/>
    <numFmt numFmtId="165" formatCode="0.000_);[Red]\(0.000\)"/>
    <numFmt numFmtId="166" formatCode="0.00000"/>
    <numFmt numFmtId="167" formatCode="0.0000"/>
    <numFmt numFmtId="168" formatCode="0.000"/>
    <numFmt numFmtId="169" formatCode="0.00_ "/>
    <numFmt numFmtId="170" formatCode="0.0000_ "/>
  </numFmts>
  <fonts count="16">
    <font>
      <sz val="12"/>
      <color theme="1"/>
      <name val="Calibri"/>
      <family val="2"/>
      <charset val="134"/>
      <scheme val="minor"/>
    </font>
    <font>
      <sz val="12"/>
      <color rgb="FF006100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0"/>
      <color theme="1"/>
      <name val="Times New Roman"/>
      <family val="1"/>
    </font>
    <font>
      <b/>
      <sz val="9"/>
      <color indexed="81"/>
      <name val="宋体"/>
      <charset val="134"/>
    </font>
    <font>
      <sz val="9"/>
      <color indexed="81"/>
      <name val="宋体"/>
      <charset val="134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Times New Roman"/>
      <family val="1"/>
    </font>
    <font>
      <sz val="12"/>
      <color theme="1"/>
      <name val="Cambria"/>
      <family val="1"/>
    </font>
    <font>
      <sz val="11"/>
      <color theme="1"/>
      <name val="Calibri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162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0">
    <xf numFmtId="0" fontId="0" fillId="0" borderId="0" xfId="0"/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168" fontId="5" fillId="0" borderId="0" xfId="0" applyNumberFormat="1" applyFont="1" applyFill="1" applyAlignment="1">
      <alignment horizontal="left" vertical="center"/>
    </xf>
    <xf numFmtId="164" fontId="5" fillId="0" borderId="0" xfId="0" applyNumberFormat="1" applyFont="1" applyFill="1" applyBorder="1" applyAlignment="1">
      <alignment horizontal="left" vertical="center"/>
    </xf>
    <xf numFmtId="168" fontId="5" fillId="0" borderId="0" xfId="0" applyNumberFormat="1" applyFont="1" applyFill="1" applyBorder="1" applyAlignment="1">
      <alignment horizontal="left" vertical="center"/>
    </xf>
    <xf numFmtId="168" fontId="9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left" vertical="center"/>
    </xf>
    <xf numFmtId="2" fontId="5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left" vertical="center"/>
    </xf>
    <xf numFmtId="164" fontId="9" fillId="3" borderId="0" xfId="0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168" fontId="9" fillId="3" borderId="0" xfId="0" applyNumberFormat="1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left" vertical="center"/>
    </xf>
    <xf numFmtId="167" fontId="5" fillId="3" borderId="0" xfId="0" applyNumberFormat="1" applyFont="1" applyFill="1" applyBorder="1" applyAlignment="1">
      <alignment horizontal="left" vertical="center"/>
    </xf>
    <xf numFmtId="170" fontId="5" fillId="3" borderId="0" xfId="0" applyNumberFormat="1" applyFont="1" applyFill="1" applyBorder="1" applyAlignment="1">
      <alignment horizontal="left" vertical="center"/>
    </xf>
    <xf numFmtId="168" fontId="5" fillId="3" borderId="0" xfId="0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horizontal="left"/>
    </xf>
    <xf numFmtId="167" fontId="9" fillId="3" borderId="0" xfId="0" applyNumberFormat="1" applyFont="1" applyFill="1" applyBorder="1" applyAlignment="1">
      <alignment horizontal="left" vertical="center"/>
    </xf>
    <xf numFmtId="166" fontId="9" fillId="3" borderId="0" xfId="0" applyNumberFormat="1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/>
    <xf numFmtId="0" fontId="5" fillId="3" borderId="0" xfId="0" applyFont="1" applyFill="1" applyBorder="1" applyAlignment="1">
      <alignment horizontal="left" vertical="center" wrapText="1"/>
    </xf>
    <xf numFmtId="2" fontId="5" fillId="3" borderId="0" xfId="0" applyNumberFormat="1" applyFont="1" applyFill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2" fontId="5" fillId="3" borderId="0" xfId="0" applyNumberFormat="1" applyFont="1" applyFill="1" applyBorder="1" applyAlignment="1">
      <alignment horizontal="left" vertical="center"/>
    </xf>
    <xf numFmtId="1" fontId="5" fillId="3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top" wrapText="1"/>
    </xf>
    <xf numFmtId="1" fontId="10" fillId="0" borderId="0" xfId="0" applyNumberFormat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1" fontId="10" fillId="3" borderId="0" xfId="0" applyNumberFormat="1" applyFont="1" applyFill="1" applyBorder="1" applyAlignment="1">
      <alignment horizontal="left" vertical="top" wrapText="1"/>
    </xf>
    <xf numFmtId="0" fontId="10" fillId="3" borderId="0" xfId="0" applyFont="1" applyFill="1" applyBorder="1" applyAlignment="1">
      <alignment horizontal="left" vertical="top" wrapText="1"/>
    </xf>
    <xf numFmtId="1" fontId="9" fillId="3" borderId="0" xfId="0" applyNumberFormat="1" applyFont="1" applyFill="1" applyBorder="1" applyAlignment="1">
      <alignment horizontal="left" vertical="top" wrapText="1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Border="1" applyAlignment="1">
      <alignment horizontal="left" vertical="top" wrapText="1"/>
    </xf>
    <xf numFmtId="168" fontId="5" fillId="3" borderId="0" xfId="0" applyNumberFormat="1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wrapText="1"/>
    </xf>
    <xf numFmtId="0" fontId="9" fillId="0" borderId="0" xfId="0" applyFont="1" applyFill="1" applyAlignment="1">
      <alignment horizontal="left" vertical="center"/>
    </xf>
    <xf numFmtId="2" fontId="10" fillId="3" borderId="0" xfId="0" applyNumberFormat="1" applyFont="1" applyFill="1" applyBorder="1" applyAlignment="1">
      <alignment horizontal="left" vertical="top" wrapText="1"/>
    </xf>
    <xf numFmtId="2" fontId="5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2" fontId="13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vertical="center"/>
    </xf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center" vertical="center"/>
    </xf>
    <xf numFmtId="1" fontId="9" fillId="0" borderId="0" xfId="1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/>
    </xf>
    <xf numFmtId="1" fontId="9" fillId="0" borderId="0" xfId="0" applyNumberFormat="1" applyFont="1" applyFill="1" applyBorder="1" applyAlignment="1">
      <alignment horizontal="left"/>
    </xf>
    <xf numFmtId="164" fontId="9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165" fontId="9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wrapText="1"/>
    </xf>
    <xf numFmtId="10" fontId="10" fillId="3" borderId="0" xfId="0" applyNumberFormat="1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169" fontId="5" fillId="3" borderId="0" xfId="0" applyNumberFormat="1" applyFont="1" applyFill="1" applyBorder="1" applyAlignment="1">
      <alignment horizontal="left" vertical="center"/>
    </xf>
    <xf numFmtId="10" fontId="5" fillId="3" borderId="0" xfId="0" applyNumberFormat="1" applyFont="1" applyFill="1" applyBorder="1" applyAlignment="1">
      <alignment horizontal="center" vertical="center"/>
    </xf>
    <xf numFmtId="10" fontId="5" fillId="3" borderId="0" xfId="0" applyNumberFormat="1" applyFont="1" applyFill="1" applyBorder="1" applyAlignment="1">
      <alignment horizontal="left" vertical="center"/>
    </xf>
    <xf numFmtId="169" fontId="9" fillId="3" borderId="0" xfId="0" applyNumberFormat="1" applyFont="1" applyFill="1" applyBorder="1" applyAlignment="1">
      <alignment horizontal="left" vertical="center"/>
    </xf>
    <xf numFmtId="2" fontId="9" fillId="3" borderId="0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14" fillId="0" borderId="0" xfId="0" applyFont="1" applyAlignment="1">
      <alignment horizontal="left" vertical="center" wrapText="1"/>
    </xf>
  </cellXfs>
  <cellStyles count="216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Followed Hyperlink" xfId="799" builtinId="9" hidden="1"/>
    <cellStyle name="Followed Hyperlink" xfId="801" builtinId="9" hidden="1"/>
    <cellStyle name="Followed Hyperlink" xfId="803" builtinId="9" hidden="1"/>
    <cellStyle name="Followed Hyperlink" xfId="805" builtinId="9" hidden="1"/>
    <cellStyle name="Followed Hyperlink" xfId="807" builtinId="9" hidden="1"/>
    <cellStyle name="Followed Hyperlink" xfId="809" builtinId="9" hidden="1"/>
    <cellStyle name="Followed Hyperlink" xfId="811" builtinId="9" hidden="1"/>
    <cellStyle name="Followed Hyperlink" xfId="813" builtinId="9" hidden="1"/>
    <cellStyle name="Followed Hyperlink" xfId="815" builtinId="9" hidden="1"/>
    <cellStyle name="Followed Hyperlink" xfId="817" builtinId="9" hidden="1"/>
    <cellStyle name="Followed Hyperlink" xfId="819" builtinId="9" hidden="1"/>
    <cellStyle name="Followed Hyperlink" xfId="821" builtinId="9" hidden="1"/>
    <cellStyle name="Followed Hyperlink" xfId="823" builtinId="9" hidden="1"/>
    <cellStyle name="Followed Hyperlink" xfId="825" builtinId="9" hidden="1"/>
    <cellStyle name="Followed Hyperlink" xfId="827" builtinId="9" hidden="1"/>
    <cellStyle name="Followed Hyperlink" xfId="829" builtinId="9" hidden="1"/>
    <cellStyle name="Followed Hyperlink" xfId="831" builtinId="9" hidden="1"/>
    <cellStyle name="Followed Hyperlink" xfId="833" builtinId="9" hidden="1"/>
    <cellStyle name="Followed Hyperlink" xfId="835" builtinId="9" hidden="1"/>
    <cellStyle name="Followed Hyperlink" xfId="837" builtinId="9" hidden="1"/>
    <cellStyle name="Followed Hyperlink" xfId="839" builtinId="9" hidden="1"/>
    <cellStyle name="Followed Hyperlink" xfId="841" builtinId="9" hidden="1"/>
    <cellStyle name="Followed Hyperlink" xfId="843" builtinId="9" hidden="1"/>
    <cellStyle name="Followed Hyperlink" xfId="845" builtinId="9" hidden="1"/>
    <cellStyle name="Followed Hyperlink" xfId="847" builtinId="9" hidden="1"/>
    <cellStyle name="Followed Hyperlink" xfId="849" builtinId="9" hidden="1"/>
    <cellStyle name="Followed Hyperlink" xfId="851" builtinId="9" hidden="1"/>
    <cellStyle name="Followed Hyperlink" xfId="853" builtinId="9" hidden="1"/>
    <cellStyle name="Followed Hyperlink" xfId="855" builtinId="9" hidden="1"/>
    <cellStyle name="Followed Hyperlink" xfId="857" builtinId="9" hidden="1"/>
    <cellStyle name="Followed Hyperlink" xfId="859" builtinId="9" hidden="1"/>
    <cellStyle name="Followed Hyperlink" xfId="861" builtinId="9" hidden="1"/>
    <cellStyle name="Followed Hyperlink" xfId="863" builtinId="9" hidden="1"/>
    <cellStyle name="Followed Hyperlink" xfId="865" builtinId="9" hidden="1"/>
    <cellStyle name="Followed Hyperlink" xfId="867" builtinId="9" hidden="1"/>
    <cellStyle name="Followed Hyperlink" xfId="869" builtinId="9" hidden="1"/>
    <cellStyle name="Followed Hyperlink" xfId="871" builtinId="9" hidden="1"/>
    <cellStyle name="Followed Hyperlink" xfId="873" builtinId="9" hidden="1"/>
    <cellStyle name="Followed Hyperlink" xfId="875" builtinId="9" hidden="1"/>
    <cellStyle name="Followed Hyperlink" xfId="877" builtinId="9" hidden="1"/>
    <cellStyle name="Followed Hyperlink" xfId="879" builtinId="9" hidden="1"/>
    <cellStyle name="Followed Hyperlink" xfId="881" builtinId="9" hidden="1"/>
    <cellStyle name="Followed Hyperlink" xfId="883" builtinId="9" hidden="1"/>
    <cellStyle name="Followed Hyperlink" xfId="885" builtinId="9" hidden="1"/>
    <cellStyle name="Followed Hyperlink" xfId="887" builtinId="9" hidden="1"/>
    <cellStyle name="Followed Hyperlink" xfId="889" builtinId="9" hidden="1"/>
    <cellStyle name="Followed Hyperlink" xfId="891" builtinId="9" hidden="1"/>
    <cellStyle name="Followed Hyperlink" xfId="893" builtinId="9" hidden="1"/>
    <cellStyle name="Followed Hyperlink" xfId="895" builtinId="9" hidden="1"/>
    <cellStyle name="Followed Hyperlink" xfId="897" builtinId="9" hidden="1"/>
    <cellStyle name="Followed Hyperlink" xfId="899" builtinId="9" hidden="1"/>
    <cellStyle name="Followed Hyperlink" xfId="901" builtinId="9" hidden="1"/>
    <cellStyle name="Followed Hyperlink" xfId="903" builtinId="9" hidden="1"/>
    <cellStyle name="Followed Hyperlink" xfId="905" builtinId="9" hidden="1"/>
    <cellStyle name="Followed Hyperlink" xfId="907" builtinId="9" hidden="1"/>
    <cellStyle name="Followed Hyperlink" xfId="909" builtinId="9" hidden="1"/>
    <cellStyle name="Followed Hyperlink" xfId="911" builtinId="9" hidden="1"/>
    <cellStyle name="Followed Hyperlink" xfId="913" builtinId="9" hidden="1"/>
    <cellStyle name="Followed Hyperlink" xfId="915" builtinId="9" hidden="1"/>
    <cellStyle name="Followed Hyperlink" xfId="917" builtinId="9" hidden="1"/>
    <cellStyle name="Followed Hyperlink" xfId="919" builtinId="9" hidden="1"/>
    <cellStyle name="Followed Hyperlink" xfId="921" builtinId="9" hidden="1"/>
    <cellStyle name="Followed Hyperlink" xfId="923" builtinId="9" hidden="1"/>
    <cellStyle name="Followed Hyperlink" xfId="925" builtinId="9" hidden="1"/>
    <cellStyle name="Followed Hyperlink" xfId="927" builtinId="9" hidden="1"/>
    <cellStyle name="Followed Hyperlink" xfId="929" builtinId="9" hidden="1"/>
    <cellStyle name="Followed Hyperlink" xfId="931" builtinId="9" hidden="1"/>
    <cellStyle name="Followed Hyperlink" xfId="933" builtinId="9" hidden="1"/>
    <cellStyle name="Followed Hyperlink" xfId="935" builtinId="9" hidden="1"/>
    <cellStyle name="Followed Hyperlink" xfId="937" builtinId="9" hidden="1"/>
    <cellStyle name="Followed Hyperlink" xfId="939" builtinId="9" hidden="1"/>
    <cellStyle name="Followed Hyperlink" xfId="941" builtinId="9" hidden="1"/>
    <cellStyle name="Followed Hyperlink" xfId="943" builtinId="9" hidden="1"/>
    <cellStyle name="Followed Hyperlink" xfId="945" builtinId="9" hidden="1"/>
    <cellStyle name="Followed Hyperlink" xfId="947" builtinId="9" hidden="1"/>
    <cellStyle name="Followed Hyperlink" xfId="949" builtinId="9" hidden="1"/>
    <cellStyle name="Followed Hyperlink" xfId="951" builtinId="9" hidden="1"/>
    <cellStyle name="Followed Hyperlink" xfId="953" builtinId="9" hidden="1"/>
    <cellStyle name="Followed Hyperlink" xfId="955" builtinId="9" hidden="1"/>
    <cellStyle name="Followed Hyperlink" xfId="957" builtinId="9" hidden="1"/>
    <cellStyle name="Followed Hyperlink" xfId="959" builtinId="9" hidden="1"/>
    <cellStyle name="Followed Hyperlink" xfId="961" builtinId="9" hidden="1"/>
    <cellStyle name="Followed Hyperlink" xfId="963" builtinId="9" hidden="1"/>
    <cellStyle name="Followed Hyperlink" xfId="965" builtinId="9" hidden="1"/>
    <cellStyle name="Followed Hyperlink" xfId="967" builtinId="9" hidden="1"/>
    <cellStyle name="Followed Hyperlink" xfId="969" builtinId="9" hidden="1"/>
    <cellStyle name="Followed Hyperlink" xfId="971" builtinId="9" hidden="1"/>
    <cellStyle name="Followed Hyperlink" xfId="973" builtinId="9" hidden="1"/>
    <cellStyle name="Followed Hyperlink" xfId="975" builtinId="9" hidden="1"/>
    <cellStyle name="Followed Hyperlink" xfId="977" builtinId="9" hidden="1"/>
    <cellStyle name="Followed Hyperlink" xfId="979" builtinId="9" hidden="1"/>
    <cellStyle name="Followed Hyperlink" xfId="981" builtinId="9" hidden="1"/>
    <cellStyle name="Followed Hyperlink" xfId="983" builtinId="9" hidden="1"/>
    <cellStyle name="Followed Hyperlink" xfId="985" builtinId="9" hidden="1"/>
    <cellStyle name="Followed Hyperlink" xfId="987" builtinId="9" hidden="1"/>
    <cellStyle name="Followed Hyperlink" xfId="989" builtinId="9" hidden="1"/>
    <cellStyle name="Followed Hyperlink" xfId="991" builtinId="9" hidden="1"/>
    <cellStyle name="Followed Hyperlink" xfId="993" builtinId="9" hidden="1"/>
    <cellStyle name="Followed Hyperlink" xfId="995" builtinId="9" hidden="1"/>
    <cellStyle name="Followed Hyperlink" xfId="997" builtinId="9" hidden="1"/>
    <cellStyle name="Followed Hyperlink" xfId="999" builtinId="9" hidden="1"/>
    <cellStyle name="Followed Hyperlink" xfId="1001" builtinId="9" hidden="1"/>
    <cellStyle name="Followed Hyperlink" xfId="1003" builtinId="9" hidden="1"/>
    <cellStyle name="Followed Hyperlink" xfId="1005" builtinId="9" hidden="1"/>
    <cellStyle name="Followed Hyperlink" xfId="1007" builtinId="9" hidden="1"/>
    <cellStyle name="Followed Hyperlink" xfId="1009" builtinId="9" hidden="1"/>
    <cellStyle name="Followed Hyperlink" xfId="1011" builtinId="9" hidden="1"/>
    <cellStyle name="Followed Hyperlink" xfId="1013" builtinId="9" hidden="1"/>
    <cellStyle name="Followed Hyperlink" xfId="1015" builtinId="9" hidden="1"/>
    <cellStyle name="Followed Hyperlink" xfId="1017" builtinId="9" hidden="1"/>
    <cellStyle name="Followed Hyperlink" xfId="1019" builtinId="9" hidden="1"/>
    <cellStyle name="Followed Hyperlink" xfId="1021" builtinId="9" hidden="1"/>
    <cellStyle name="Followed Hyperlink" xfId="1023" builtinId="9" hidden="1"/>
    <cellStyle name="Followed Hyperlink" xfId="1025" builtinId="9" hidden="1"/>
    <cellStyle name="Followed Hyperlink" xfId="1027" builtinId="9" hidden="1"/>
    <cellStyle name="Followed Hyperlink" xfId="1029" builtinId="9" hidden="1"/>
    <cellStyle name="Followed Hyperlink" xfId="1031" builtinId="9" hidden="1"/>
    <cellStyle name="Followed Hyperlink" xfId="1033" builtinId="9" hidden="1"/>
    <cellStyle name="Followed Hyperlink" xfId="1035" builtinId="9" hidden="1"/>
    <cellStyle name="Followed Hyperlink" xfId="1037" builtinId="9" hidden="1"/>
    <cellStyle name="Followed Hyperlink" xfId="1039" builtinId="9" hidden="1"/>
    <cellStyle name="Followed Hyperlink" xfId="1041" builtinId="9" hidden="1"/>
    <cellStyle name="Followed Hyperlink" xfId="1043" builtinId="9" hidden="1"/>
    <cellStyle name="Followed Hyperlink" xfId="1045" builtinId="9" hidden="1"/>
    <cellStyle name="Followed Hyperlink" xfId="1047" builtinId="9" hidden="1"/>
    <cellStyle name="Followed Hyperlink" xfId="1049" builtinId="9" hidden="1"/>
    <cellStyle name="Followed Hyperlink" xfId="1051" builtinId="9" hidden="1"/>
    <cellStyle name="Followed Hyperlink" xfId="1053" builtinId="9" hidden="1"/>
    <cellStyle name="Followed Hyperlink" xfId="1055" builtinId="9" hidden="1"/>
    <cellStyle name="Followed Hyperlink" xfId="1057" builtinId="9" hidden="1"/>
    <cellStyle name="Followed Hyperlink" xfId="1059" builtinId="9" hidden="1"/>
    <cellStyle name="Followed Hyperlink" xfId="1061" builtinId="9" hidden="1"/>
    <cellStyle name="Followed Hyperlink" xfId="1063" builtinId="9" hidden="1"/>
    <cellStyle name="Followed Hyperlink" xfId="1065" builtinId="9" hidden="1"/>
    <cellStyle name="Followed Hyperlink" xfId="1067" builtinId="9" hidden="1"/>
    <cellStyle name="Followed Hyperlink" xfId="1069" builtinId="9" hidden="1"/>
    <cellStyle name="Followed Hyperlink" xfId="1071" builtinId="9" hidden="1"/>
    <cellStyle name="Followed Hyperlink" xfId="1073" builtinId="9" hidden="1"/>
    <cellStyle name="Followed Hyperlink" xfId="1075" builtinId="9" hidden="1"/>
    <cellStyle name="Followed Hyperlink" xfId="1077" builtinId="9" hidden="1"/>
    <cellStyle name="Followed Hyperlink" xfId="1079" builtinId="9" hidden="1"/>
    <cellStyle name="Followed Hyperlink" xfId="1081" builtinId="9" hidden="1"/>
    <cellStyle name="Followed Hyperlink" xfId="1083" builtinId="9" hidden="1"/>
    <cellStyle name="Followed Hyperlink" xfId="1085" builtinId="9" hidden="1"/>
    <cellStyle name="Followed Hyperlink" xfId="1087" builtinId="9" hidden="1"/>
    <cellStyle name="Followed Hyperlink" xfId="1089" builtinId="9" hidden="1"/>
    <cellStyle name="Followed Hyperlink" xfId="1091" builtinId="9" hidden="1"/>
    <cellStyle name="Followed Hyperlink" xfId="1093" builtinId="9" hidden="1"/>
    <cellStyle name="Followed Hyperlink" xfId="1095" builtinId="9" hidden="1"/>
    <cellStyle name="Followed Hyperlink" xfId="1097" builtinId="9" hidden="1"/>
    <cellStyle name="Followed Hyperlink" xfId="1099" builtinId="9" hidden="1"/>
    <cellStyle name="Followed Hyperlink" xfId="1101" builtinId="9" hidden="1"/>
    <cellStyle name="Followed Hyperlink" xfId="1103" builtinId="9" hidden="1"/>
    <cellStyle name="Followed Hyperlink" xfId="1105" builtinId="9" hidden="1"/>
    <cellStyle name="Followed Hyperlink" xfId="1107" builtinId="9" hidden="1"/>
    <cellStyle name="Followed Hyperlink" xfId="1109" builtinId="9" hidden="1"/>
    <cellStyle name="Followed Hyperlink" xfId="1111" builtinId="9" hidden="1"/>
    <cellStyle name="Followed Hyperlink" xfId="1113" builtinId="9" hidden="1"/>
    <cellStyle name="Followed Hyperlink" xfId="1115" builtinId="9" hidden="1"/>
    <cellStyle name="Followed Hyperlink" xfId="1117" builtinId="9" hidden="1"/>
    <cellStyle name="Followed Hyperlink" xfId="1119" builtinId="9" hidden="1"/>
    <cellStyle name="Followed Hyperlink" xfId="1121" builtinId="9" hidden="1"/>
    <cellStyle name="Followed Hyperlink" xfId="1123" builtinId="9" hidden="1"/>
    <cellStyle name="Followed Hyperlink" xfId="1125" builtinId="9" hidden="1"/>
    <cellStyle name="Followed Hyperlink" xfId="1127" builtinId="9" hidden="1"/>
    <cellStyle name="Followed Hyperlink" xfId="1129" builtinId="9" hidden="1"/>
    <cellStyle name="Followed Hyperlink" xfId="1131" builtinId="9" hidden="1"/>
    <cellStyle name="Followed Hyperlink" xfId="1133" builtinId="9" hidden="1"/>
    <cellStyle name="Followed Hyperlink" xfId="1135" builtinId="9" hidden="1"/>
    <cellStyle name="Followed Hyperlink" xfId="1137" builtinId="9" hidden="1"/>
    <cellStyle name="Followed Hyperlink" xfId="1139" builtinId="9" hidden="1"/>
    <cellStyle name="Followed Hyperlink" xfId="1141" builtinId="9" hidden="1"/>
    <cellStyle name="Followed Hyperlink" xfId="1143" builtinId="9" hidden="1"/>
    <cellStyle name="Followed Hyperlink" xfId="1145" builtinId="9" hidden="1"/>
    <cellStyle name="Followed Hyperlink" xfId="1147" builtinId="9" hidden="1"/>
    <cellStyle name="Followed Hyperlink" xfId="1149" builtinId="9" hidden="1"/>
    <cellStyle name="Followed Hyperlink" xfId="1151" builtinId="9" hidden="1"/>
    <cellStyle name="Followed Hyperlink" xfId="1153" builtinId="9" hidden="1"/>
    <cellStyle name="Followed Hyperlink" xfId="1155" builtinId="9" hidden="1"/>
    <cellStyle name="Followed Hyperlink" xfId="1157" builtinId="9" hidden="1"/>
    <cellStyle name="Followed Hyperlink" xfId="1159" builtinId="9" hidden="1"/>
    <cellStyle name="Followed Hyperlink" xfId="1161" builtinId="9" hidden="1"/>
    <cellStyle name="Followed Hyperlink" xfId="1163" builtinId="9" hidden="1"/>
    <cellStyle name="Followed Hyperlink" xfId="1165" builtinId="9" hidden="1"/>
    <cellStyle name="Followed Hyperlink" xfId="1167" builtinId="9" hidden="1"/>
    <cellStyle name="Followed Hyperlink" xfId="1169" builtinId="9" hidden="1"/>
    <cellStyle name="Followed Hyperlink" xfId="1171" builtinId="9" hidden="1"/>
    <cellStyle name="Followed Hyperlink" xfId="1173" builtinId="9" hidden="1"/>
    <cellStyle name="Followed Hyperlink" xfId="1175" builtinId="9" hidden="1"/>
    <cellStyle name="Followed Hyperlink" xfId="1177" builtinId="9" hidden="1"/>
    <cellStyle name="Followed Hyperlink" xfId="1179" builtinId="9" hidden="1"/>
    <cellStyle name="Followed Hyperlink" xfId="1181" builtinId="9" hidden="1"/>
    <cellStyle name="Followed Hyperlink" xfId="1183" builtinId="9" hidden="1"/>
    <cellStyle name="Followed Hyperlink" xfId="1185" builtinId="9" hidden="1"/>
    <cellStyle name="Followed Hyperlink" xfId="1187" builtinId="9" hidden="1"/>
    <cellStyle name="Followed Hyperlink" xfId="1189" builtinId="9" hidden="1"/>
    <cellStyle name="Followed Hyperlink" xfId="1191" builtinId="9" hidden="1"/>
    <cellStyle name="Followed Hyperlink" xfId="1193" builtinId="9" hidden="1"/>
    <cellStyle name="Followed Hyperlink" xfId="1195" builtinId="9" hidden="1"/>
    <cellStyle name="Followed Hyperlink" xfId="1197" builtinId="9" hidden="1"/>
    <cellStyle name="Followed Hyperlink" xfId="1199" builtinId="9" hidden="1"/>
    <cellStyle name="Followed Hyperlink" xfId="1201" builtinId="9" hidden="1"/>
    <cellStyle name="Followed Hyperlink" xfId="1203" builtinId="9" hidden="1"/>
    <cellStyle name="Followed Hyperlink" xfId="1205" builtinId="9" hidden="1"/>
    <cellStyle name="Followed Hyperlink" xfId="1207" builtinId="9" hidden="1"/>
    <cellStyle name="Followed Hyperlink" xfId="1209" builtinId="9" hidden="1"/>
    <cellStyle name="Followed Hyperlink" xfId="1211" builtinId="9" hidden="1"/>
    <cellStyle name="Followed Hyperlink" xfId="1213" builtinId="9" hidden="1"/>
    <cellStyle name="Followed Hyperlink" xfId="1215" builtinId="9" hidden="1"/>
    <cellStyle name="Followed Hyperlink" xfId="1217" builtinId="9" hidden="1"/>
    <cellStyle name="Followed Hyperlink" xfId="1219" builtinId="9" hidden="1"/>
    <cellStyle name="Followed Hyperlink" xfId="1221" builtinId="9" hidden="1"/>
    <cellStyle name="Followed Hyperlink" xfId="1223" builtinId="9" hidden="1"/>
    <cellStyle name="Followed Hyperlink" xfId="1225" builtinId="9" hidden="1"/>
    <cellStyle name="Followed Hyperlink" xfId="1227" builtinId="9" hidden="1"/>
    <cellStyle name="Followed Hyperlink" xfId="1229" builtinId="9" hidden="1"/>
    <cellStyle name="Followed Hyperlink" xfId="1231" builtinId="9" hidden="1"/>
    <cellStyle name="Followed Hyperlink" xfId="1233" builtinId="9" hidden="1"/>
    <cellStyle name="Followed Hyperlink" xfId="1235" builtinId="9" hidden="1"/>
    <cellStyle name="Followed Hyperlink" xfId="1237" builtinId="9" hidden="1"/>
    <cellStyle name="Followed Hyperlink" xfId="1239" builtinId="9" hidden="1"/>
    <cellStyle name="Followed Hyperlink" xfId="1241" builtinId="9" hidden="1"/>
    <cellStyle name="Followed Hyperlink" xfId="1243" builtinId="9" hidden="1"/>
    <cellStyle name="Followed Hyperlink" xfId="1245" builtinId="9" hidden="1"/>
    <cellStyle name="Followed Hyperlink" xfId="1247" builtinId="9" hidden="1"/>
    <cellStyle name="Followed Hyperlink" xfId="1249" builtinId="9" hidden="1"/>
    <cellStyle name="Followed Hyperlink" xfId="1251" builtinId="9" hidden="1"/>
    <cellStyle name="Followed Hyperlink" xfId="1253" builtinId="9" hidden="1"/>
    <cellStyle name="Followed Hyperlink" xfId="1255" builtinId="9" hidden="1"/>
    <cellStyle name="Followed Hyperlink" xfId="1257" builtinId="9" hidden="1"/>
    <cellStyle name="Followed Hyperlink" xfId="1259" builtinId="9" hidden="1"/>
    <cellStyle name="Followed Hyperlink" xfId="1261" builtinId="9" hidden="1"/>
    <cellStyle name="Followed Hyperlink" xfId="1263" builtinId="9" hidden="1"/>
    <cellStyle name="Followed Hyperlink" xfId="1265" builtinId="9" hidden="1"/>
    <cellStyle name="Followed Hyperlink" xfId="1267" builtinId="9" hidden="1"/>
    <cellStyle name="Followed Hyperlink" xfId="1269" builtinId="9" hidden="1"/>
    <cellStyle name="Followed Hyperlink" xfId="1271" builtinId="9" hidden="1"/>
    <cellStyle name="Followed Hyperlink" xfId="1273" builtinId="9" hidden="1"/>
    <cellStyle name="Followed Hyperlink" xfId="1275" builtinId="9" hidden="1"/>
    <cellStyle name="Followed Hyperlink" xfId="1277" builtinId="9" hidden="1"/>
    <cellStyle name="Followed Hyperlink" xfId="1279" builtinId="9" hidden="1"/>
    <cellStyle name="Followed Hyperlink" xfId="1281" builtinId="9" hidden="1"/>
    <cellStyle name="Followed Hyperlink" xfId="1283" builtinId="9" hidden="1"/>
    <cellStyle name="Followed Hyperlink" xfId="1285" builtinId="9" hidden="1"/>
    <cellStyle name="Followed Hyperlink" xfId="1287" builtinId="9" hidden="1"/>
    <cellStyle name="Followed Hyperlink" xfId="1289" builtinId="9" hidden="1"/>
    <cellStyle name="Followed Hyperlink" xfId="1291" builtinId="9" hidden="1"/>
    <cellStyle name="Followed Hyperlink" xfId="1293" builtinId="9" hidden="1"/>
    <cellStyle name="Followed Hyperlink" xfId="1295" builtinId="9" hidden="1"/>
    <cellStyle name="Followed Hyperlink" xfId="1297" builtinId="9" hidden="1"/>
    <cellStyle name="Followed Hyperlink" xfId="1299" builtinId="9" hidden="1"/>
    <cellStyle name="Followed Hyperlink" xfId="1301" builtinId="9" hidden="1"/>
    <cellStyle name="Followed Hyperlink" xfId="1303" builtinId="9" hidden="1"/>
    <cellStyle name="Followed Hyperlink" xfId="1305" builtinId="9" hidden="1"/>
    <cellStyle name="Followed Hyperlink" xfId="1307" builtinId="9" hidden="1"/>
    <cellStyle name="Followed Hyperlink" xfId="1309" builtinId="9" hidden="1"/>
    <cellStyle name="Followed Hyperlink" xfId="1311" builtinId="9" hidden="1"/>
    <cellStyle name="Followed Hyperlink" xfId="1313" builtinId="9" hidden="1"/>
    <cellStyle name="Followed Hyperlink" xfId="1315" builtinId="9" hidden="1"/>
    <cellStyle name="Followed Hyperlink" xfId="1317" builtinId="9" hidden="1"/>
    <cellStyle name="Followed Hyperlink" xfId="1319" builtinId="9" hidden="1"/>
    <cellStyle name="Followed Hyperlink" xfId="1321" builtinId="9" hidden="1"/>
    <cellStyle name="Followed Hyperlink" xfId="1323" builtinId="9" hidden="1"/>
    <cellStyle name="Followed Hyperlink" xfId="1325" builtinId="9" hidden="1"/>
    <cellStyle name="Followed Hyperlink" xfId="1327" builtinId="9" hidden="1"/>
    <cellStyle name="Followed Hyperlink" xfId="1329" builtinId="9" hidden="1"/>
    <cellStyle name="Followed Hyperlink" xfId="1331" builtinId="9" hidden="1"/>
    <cellStyle name="Followed Hyperlink" xfId="1333" builtinId="9" hidden="1"/>
    <cellStyle name="Followed Hyperlink" xfId="1335" builtinId="9" hidden="1"/>
    <cellStyle name="Followed Hyperlink" xfId="1337" builtinId="9" hidden="1"/>
    <cellStyle name="Followed Hyperlink" xfId="1339" builtinId="9" hidden="1"/>
    <cellStyle name="Followed Hyperlink" xfId="1341" builtinId="9" hidden="1"/>
    <cellStyle name="Followed Hyperlink" xfId="1343" builtinId="9" hidden="1"/>
    <cellStyle name="Followed Hyperlink" xfId="1345" builtinId="9" hidden="1"/>
    <cellStyle name="Followed Hyperlink" xfId="1347" builtinId="9" hidden="1"/>
    <cellStyle name="Followed Hyperlink" xfId="1349" builtinId="9" hidden="1"/>
    <cellStyle name="Followed Hyperlink" xfId="1351" builtinId="9" hidden="1"/>
    <cellStyle name="Followed Hyperlink" xfId="1353" builtinId="9" hidden="1"/>
    <cellStyle name="Followed Hyperlink" xfId="1355" builtinId="9" hidden="1"/>
    <cellStyle name="Followed Hyperlink" xfId="1357" builtinId="9" hidden="1"/>
    <cellStyle name="Followed Hyperlink" xfId="1359" builtinId="9" hidden="1"/>
    <cellStyle name="Followed Hyperlink" xfId="1361" builtinId="9" hidden="1"/>
    <cellStyle name="Followed Hyperlink" xfId="1363" builtinId="9" hidden="1"/>
    <cellStyle name="Followed Hyperlink" xfId="1365" builtinId="9" hidden="1"/>
    <cellStyle name="Followed Hyperlink" xfId="1367" builtinId="9" hidden="1"/>
    <cellStyle name="Followed Hyperlink" xfId="1369" builtinId="9" hidden="1"/>
    <cellStyle name="Followed Hyperlink" xfId="1371" builtinId="9" hidden="1"/>
    <cellStyle name="Followed Hyperlink" xfId="1373" builtinId="9" hidden="1"/>
    <cellStyle name="Followed Hyperlink" xfId="1375" builtinId="9" hidden="1"/>
    <cellStyle name="Followed Hyperlink" xfId="1377" builtinId="9" hidden="1"/>
    <cellStyle name="Followed Hyperlink" xfId="1379" builtinId="9" hidden="1"/>
    <cellStyle name="Followed Hyperlink" xfId="1381" builtinId="9" hidden="1"/>
    <cellStyle name="Followed Hyperlink" xfId="1383" builtinId="9" hidden="1"/>
    <cellStyle name="Followed Hyperlink" xfId="1385" builtinId="9" hidden="1"/>
    <cellStyle name="Followed Hyperlink" xfId="1387" builtinId="9" hidden="1"/>
    <cellStyle name="Followed Hyperlink" xfId="1389" builtinId="9" hidden="1"/>
    <cellStyle name="Followed Hyperlink" xfId="1391" builtinId="9" hidden="1"/>
    <cellStyle name="Followed Hyperlink" xfId="1393" builtinId="9" hidden="1"/>
    <cellStyle name="Followed Hyperlink" xfId="1395" builtinId="9" hidden="1"/>
    <cellStyle name="Followed Hyperlink" xfId="1397" builtinId="9" hidden="1"/>
    <cellStyle name="Followed Hyperlink" xfId="1399" builtinId="9" hidden="1"/>
    <cellStyle name="Followed Hyperlink" xfId="1401" builtinId="9" hidden="1"/>
    <cellStyle name="Followed Hyperlink" xfId="1403" builtinId="9" hidden="1"/>
    <cellStyle name="Followed Hyperlink" xfId="1405" builtinId="9" hidden="1"/>
    <cellStyle name="Followed Hyperlink" xfId="1407" builtinId="9" hidden="1"/>
    <cellStyle name="Followed Hyperlink" xfId="1409" builtinId="9" hidden="1"/>
    <cellStyle name="Followed Hyperlink" xfId="1411" builtinId="9" hidden="1"/>
    <cellStyle name="Followed Hyperlink" xfId="1413" builtinId="9" hidden="1"/>
    <cellStyle name="Followed Hyperlink" xfId="1415" builtinId="9" hidden="1"/>
    <cellStyle name="Followed Hyperlink" xfId="1417" builtinId="9" hidden="1"/>
    <cellStyle name="Followed Hyperlink" xfId="1419" builtinId="9" hidden="1"/>
    <cellStyle name="Followed Hyperlink" xfId="1421" builtinId="9" hidden="1"/>
    <cellStyle name="Followed Hyperlink" xfId="1423" builtinId="9" hidden="1"/>
    <cellStyle name="Followed Hyperlink" xfId="1425" builtinId="9" hidden="1"/>
    <cellStyle name="Followed Hyperlink" xfId="1427" builtinId="9" hidden="1"/>
    <cellStyle name="Followed Hyperlink" xfId="1429" builtinId="9" hidden="1"/>
    <cellStyle name="Followed Hyperlink" xfId="1431" builtinId="9" hidden="1"/>
    <cellStyle name="Followed Hyperlink" xfId="1433" builtinId="9" hidden="1"/>
    <cellStyle name="Followed Hyperlink" xfId="1435" builtinId="9" hidden="1"/>
    <cellStyle name="Followed Hyperlink" xfId="1437" builtinId="9" hidden="1"/>
    <cellStyle name="Followed Hyperlink" xfId="1439" builtinId="9" hidden="1"/>
    <cellStyle name="Followed Hyperlink" xfId="1441" builtinId="9" hidden="1"/>
    <cellStyle name="Followed Hyperlink" xfId="1443" builtinId="9" hidden="1"/>
    <cellStyle name="Followed Hyperlink" xfId="1445" builtinId="9" hidden="1"/>
    <cellStyle name="Followed Hyperlink" xfId="1447" builtinId="9" hidden="1"/>
    <cellStyle name="Followed Hyperlink" xfId="1449" builtinId="9" hidden="1"/>
    <cellStyle name="Followed Hyperlink" xfId="1451" builtinId="9" hidden="1"/>
    <cellStyle name="Followed Hyperlink" xfId="1453" builtinId="9" hidden="1"/>
    <cellStyle name="Followed Hyperlink" xfId="1455" builtinId="9" hidden="1"/>
    <cellStyle name="Followed Hyperlink" xfId="1457" builtinId="9" hidden="1"/>
    <cellStyle name="Followed Hyperlink" xfId="1459" builtinId="9" hidden="1"/>
    <cellStyle name="Followed Hyperlink" xfId="1461" builtinId="9" hidden="1"/>
    <cellStyle name="Followed Hyperlink" xfId="1463" builtinId="9" hidden="1"/>
    <cellStyle name="Followed Hyperlink" xfId="1465" builtinId="9" hidden="1"/>
    <cellStyle name="Followed Hyperlink" xfId="1467" builtinId="9" hidden="1"/>
    <cellStyle name="Followed Hyperlink" xfId="1469" builtinId="9" hidden="1"/>
    <cellStyle name="Followed Hyperlink" xfId="1471" builtinId="9" hidden="1"/>
    <cellStyle name="Followed Hyperlink" xfId="1473" builtinId="9" hidden="1"/>
    <cellStyle name="Followed Hyperlink" xfId="1475" builtinId="9" hidden="1"/>
    <cellStyle name="Followed Hyperlink" xfId="1477" builtinId="9" hidden="1"/>
    <cellStyle name="Followed Hyperlink" xfId="1479" builtinId="9" hidden="1"/>
    <cellStyle name="Followed Hyperlink" xfId="1481" builtinId="9" hidden="1"/>
    <cellStyle name="Followed Hyperlink" xfId="1483" builtinId="9" hidden="1"/>
    <cellStyle name="Followed Hyperlink" xfId="1485" builtinId="9" hidden="1"/>
    <cellStyle name="Followed Hyperlink" xfId="1487" builtinId="9" hidden="1"/>
    <cellStyle name="Followed Hyperlink" xfId="1489" builtinId="9" hidden="1"/>
    <cellStyle name="Followed Hyperlink" xfId="1491" builtinId="9" hidden="1"/>
    <cellStyle name="Followed Hyperlink" xfId="1493" builtinId="9" hidden="1"/>
    <cellStyle name="Followed Hyperlink" xfId="1495" builtinId="9" hidden="1"/>
    <cellStyle name="Followed Hyperlink" xfId="1497" builtinId="9" hidden="1"/>
    <cellStyle name="Followed Hyperlink" xfId="1499" builtinId="9" hidden="1"/>
    <cellStyle name="Followed Hyperlink" xfId="1501" builtinId="9" hidden="1"/>
    <cellStyle name="Followed Hyperlink" xfId="1503" builtinId="9" hidden="1"/>
    <cellStyle name="Followed Hyperlink" xfId="1505" builtinId="9" hidden="1"/>
    <cellStyle name="Followed Hyperlink" xfId="1507" builtinId="9" hidden="1"/>
    <cellStyle name="Followed Hyperlink" xfId="1509" builtinId="9" hidden="1"/>
    <cellStyle name="Followed Hyperlink" xfId="1511" builtinId="9" hidden="1"/>
    <cellStyle name="Followed Hyperlink" xfId="1513" builtinId="9" hidden="1"/>
    <cellStyle name="Followed Hyperlink" xfId="1515" builtinId="9" hidden="1"/>
    <cellStyle name="Followed Hyperlink" xfId="1517" builtinId="9" hidden="1"/>
    <cellStyle name="Followed Hyperlink" xfId="1519" builtinId="9" hidden="1"/>
    <cellStyle name="Followed Hyperlink" xfId="1521" builtinId="9" hidden="1"/>
    <cellStyle name="Followed Hyperlink" xfId="1523" builtinId="9" hidden="1"/>
    <cellStyle name="Followed Hyperlink" xfId="1525" builtinId="9" hidden="1"/>
    <cellStyle name="Followed Hyperlink" xfId="1527" builtinId="9" hidden="1"/>
    <cellStyle name="Followed Hyperlink" xfId="1529" builtinId="9" hidden="1"/>
    <cellStyle name="Followed Hyperlink" xfId="1531" builtinId="9" hidden="1"/>
    <cellStyle name="Followed Hyperlink" xfId="1533" builtinId="9" hidden="1"/>
    <cellStyle name="Followed Hyperlink" xfId="1535" builtinId="9" hidden="1"/>
    <cellStyle name="Followed Hyperlink" xfId="1537" builtinId="9" hidden="1"/>
    <cellStyle name="Followed Hyperlink" xfId="1539" builtinId="9" hidden="1"/>
    <cellStyle name="Followed Hyperlink" xfId="1541" builtinId="9" hidden="1"/>
    <cellStyle name="Followed Hyperlink" xfId="1543" builtinId="9" hidden="1"/>
    <cellStyle name="Followed Hyperlink" xfId="1545" builtinId="9" hidden="1"/>
    <cellStyle name="Followed Hyperlink" xfId="1547" builtinId="9" hidden="1"/>
    <cellStyle name="Followed Hyperlink" xfId="1549" builtinId="9" hidden="1"/>
    <cellStyle name="Followed Hyperlink" xfId="1551" builtinId="9" hidden="1"/>
    <cellStyle name="Followed Hyperlink" xfId="1553" builtinId="9" hidden="1"/>
    <cellStyle name="Followed Hyperlink" xfId="1555" builtinId="9" hidden="1"/>
    <cellStyle name="Followed Hyperlink" xfId="1557" builtinId="9" hidden="1"/>
    <cellStyle name="Followed Hyperlink" xfId="1559" builtinId="9" hidden="1"/>
    <cellStyle name="Followed Hyperlink" xfId="1561" builtinId="9" hidden="1"/>
    <cellStyle name="Followed Hyperlink" xfId="1563" builtinId="9" hidden="1"/>
    <cellStyle name="Followed Hyperlink" xfId="1565" builtinId="9" hidden="1"/>
    <cellStyle name="Followed Hyperlink" xfId="1567" builtinId="9" hidden="1"/>
    <cellStyle name="Followed Hyperlink" xfId="1569" builtinId="9" hidden="1"/>
    <cellStyle name="Followed Hyperlink" xfId="1571" builtinId="9" hidden="1"/>
    <cellStyle name="Followed Hyperlink" xfId="1573" builtinId="9" hidden="1"/>
    <cellStyle name="Followed Hyperlink" xfId="1575" builtinId="9" hidden="1"/>
    <cellStyle name="Followed Hyperlink" xfId="1577" builtinId="9" hidden="1"/>
    <cellStyle name="Followed Hyperlink" xfId="1579" builtinId="9" hidden="1"/>
    <cellStyle name="Followed Hyperlink" xfId="1581" builtinId="9" hidden="1"/>
    <cellStyle name="Followed Hyperlink" xfId="1583" builtinId="9" hidden="1"/>
    <cellStyle name="Followed Hyperlink" xfId="1585" builtinId="9" hidden="1"/>
    <cellStyle name="Followed Hyperlink" xfId="1587" builtinId="9" hidden="1"/>
    <cellStyle name="Followed Hyperlink" xfId="1589" builtinId="9" hidden="1"/>
    <cellStyle name="Followed Hyperlink" xfId="1591" builtinId="9" hidden="1"/>
    <cellStyle name="Followed Hyperlink" xfId="1593" builtinId="9" hidden="1"/>
    <cellStyle name="Followed Hyperlink" xfId="1595" builtinId="9" hidden="1"/>
    <cellStyle name="Followed Hyperlink" xfId="1597" builtinId="9" hidden="1"/>
    <cellStyle name="Followed Hyperlink" xfId="1599" builtinId="9" hidden="1"/>
    <cellStyle name="Followed Hyperlink" xfId="1601" builtinId="9" hidden="1"/>
    <cellStyle name="Followed Hyperlink" xfId="1603" builtinId="9" hidden="1"/>
    <cellStyle name="Followed Hyperlink" xfId="1605" builtinId="9" hidden="1"/>
    <cellStyle name="Followed Hyperlink" xfId="1607" builtinId="9" hidden="1"/>
    <cellStyle name="Followed Hyperlink" xfId="1609" builtinId="9" hidden="1"/>
    <cellStyle name="Followed Hyperlink" xfId="1611" builtinId="9" hidden="1"/>
    <cellStyle name="Followed Hyperlink" xfId="1613" builtinId="9" hidden="1"/>
    <cellStyle name="Followed Hyperlink" xfId="1615" builtinId="9" hidden="1"/>
    <cellStyle name="Followed Hyperlink" xfId="1617" builtinId="9" hidden="1"/>
    <cellStyle name="Followed Hyperlink" xfId="1619" builtinId="9" hidden="1"/>
    <cellStyle name="Followed Hyperlink" xfId="1621" builtinId="9" hidden="1"/>
    <cellStyle name="Followed Hyperlink" xfId="1623" builtinId="9" hidden="1"/>
    <cellStyle name="Followed Hyperlink" xfId="1625" builtinId="9" hidden="1"/>
    <cellStyle name="Followed Hyperlink" xfId="1627" builtinId="9" hidden="1"/>
    <cellStyle name="Followed Hyperlink" xfId="1629" builtinId="9" hidden="1"/>
    <cellStyle name="Followed Hyperlink" xfId="1631" builtinId="9" hidden="1"/>
    <cellStyle name="Followed Hyperlink" xfId="1633" builtinId="9" hidden="1"/>
    <cellStyle name="Followed Hyperlink" xfId="1635" builtinId="9" hidden="1"/>
    <cellStyle name="Followed Hyperlink" xfId="1637" builtinId="9" hidden="1"/>
    <cellStyle name="Followed Hyperlink" xfId="1639" builtinId="9" hidden="1"/>
    <cellStyle name="Followed Hyperlink" xfId="1641" builtinId="9" hidden="1"/>
    <cellStyle name="Followed Hyperlink" xfId="1643" builtinId="9" hidden="1"/>
    <cellStyle name="Followed Hyperlink" xfId="1645" builtinId="9" hidden="1"/>
    <cellStyle name="Followed Hyperlink" xfId="1647" builtinId="9" hidden="1"/>
    <cellStyle name="Followed Hyperlink" xfId="1649" builtinId="9" hidden="1"/>
    <cellStyle name="Followed Hyperlink" xfId="1651" builtinId="9" hidden="1"/>
    <cellStyle name="Followed Hyperlink" xfId="1653" builtinId="9" hidden="1"/>
    <cellStyle name="Followed Hyperlink" xfId="1655" builtinId="9" hidden="1"/>
    <cellStyle name="Followed Hyperlink" xfId="1657" builtinId="9" hidden="1"/>
    <cellStyle name="Followed Hyperlink" xfId="1659" builtinId="9" hidden="1"/>
    <cellStyle name="Followed Hyperlink" xfId="1661" builtinId="9" hidden="1"/>
    <cellStyle name="Followed Hyperlink" xfId="1663" builtinId="9" hidden="1"/>
    <cellStyle name="Followed Hyperlink" xfId="1665" builtinId="9" hidden="1"/>
    <cellStyle name="Followed Hyperlink" xfId="1667" builtinId="9" hidden="1"/>
    <cellStyle name="Followed Hyperlink" xfId="1669" builtinId="9" hidden="1"/>
    <cellStyle name="Followed Hyperlink" xfId="1671" builtinId="9" hidden="1"/>
    <cellStyle name="Followed Hyperlink" xfId="1673" builtinId="9" hidden="1"/>
    <cellStyle name="Followed Hyperlink" xfId="1675" builtinId="9" hidden="1"/>
    <cellStyle name="Followed Hyperlink" xfId="1677" builtinId="9" hidden="1"/>
    <cellStyle name="Followed Hyperlink" xfId="1679" builtinId="9" hidden="1"/>
    <cellStyle name="Followed Hyperlink" xfId="1681" builtinId="9" hidden="1"/>
    <cellStyle name="Followed Hyperlink" xfId="1683" builtinId="9" hidden="1"/>
    <cellStyle name="Followed Hyperlink" xfId="1685" builtinId="9" hidden="1"/>
    <cellStyle name="Followed Hyperlink" xfId="1687" builtinId="9" hidden="1"/>
    <cellStyle name="Followed Hyperlink" xfId="1689" builtinId="9" hidden="1"/>
    <cellStyle name="Followed Hyperlink" xfId="1691" builtinId="9" hidden="1"/>
    <cellStyle name="Followed Hyperlink" xfId="1693" builtinId="9" hidden="1"/>
    <cellStyle name="Followed Hyperlink" xfId="1695" builtinId="9" hidden="1"/>
    <cellStyle name="Followed Hyperlink" xfId="1697" builtinId="9" hidden="1"/>
    <cellStyle name="Followed Hyperlink" xfId="1699" builtinId="9" hidden="1"/>
    <cellStyle name="Followed Hyperlink" xfId="1701" builtinId="9" hidden="1"/>
    <cellStyle name="Followed Hyperlink" xfId="1703" builtinId="9" hidden="1"/>
    <cellStyle name="Followed Hyperlink" xfId="1705" builtinId="9" hidden="1"/>
    <cellStyle name="Followed Hyperlink" xfId="1707" builtinId="9" hidden="1"/>
    <cellStyle name="Followed Hyperlink" xfId="1709" builtinId="9" hidden="1"/>
    <cellStyle name="Followed Hyperlink" xfId="1711" builtinId="9" hidden="1"/>
    <cellStyle name="Followed Hyperlink" xfId="1713" builtinId="9" hidden="1"/>
    <cellStyle name="Followed Hyperlink" xfId="1715" builtinId="9" hidden="1"/>
    <cellStyle name="Followed Hyperlink" xfId="1717" builtinId="9" hidden="1"/>
    <cellStyle name="Followed Hyperlink" xfId="1719" builtinId="9" hidden="1"/>
    <cellStyle name="Followed Hyperlink" xfId="1721" builtinId="9" hidden="1"/>
    <cellStyle name="Followed Hyperlink" xfId="1723" builtinId="9" hidden="1"/>
    <cellStyle name="Followed Hyperlink" xfId="1725" builtinId="9" hidden="1"/>
    <cellStyle name="Followed Hyperlink" xfId="1727" builtinId="9" hidden="1"/>
    <cellStyle name="Followed Hyperlink" xfId="1729" builtinId="9" hidden="1"/>
    <cellStyle name="Followed Hyperlink" xfId="1731" builtinId="9" hidden="1"/>
    <cellStyle name="Followed Hyperlink" xfId="1733" builtinId="9" hidden="1"/>
    <cellStyle name="Followed Hyperlink" xfId="1735" builtinId="9" hidden="1"/>
    <cellStyle name="Followed Hyperlink" xfId="1737" builtinId="9" hidden="1"/>
    <cellStyle name="Followed Hyperlink" xfId="1739" builtinId="9" hidden="1"/>
    <cellStyle name="Followed Hyperlink" xfId="1741" builtinId="9" hidden="1"/>
    <cellStyle name="Followed Hyperlink" xfId="1743" builtinId="9" hidden="1"/>
    <cellStyle name="Followed Hyperlink" xfId="1745" builtinId="9" hidden="1"/>
    <cellStyle name="Followed Hyperlink" xfId="1747" builtinId="9" hidden="1"/>
    <cellStyle name="Followed Hyperlink" xfId="1749" builtinId="9" hidden="1"/>
    <cellStyle name="Followed Hyperlink" xfId="1751" builtinId="9" hidden="1"/>
    <cellStyle name="Followed Hyperlink" xfId="1753" builtinId="9" hidden="1"/>
    <cellStyle name="Followed Hyperlink" xfId="1755" builtinId="9" hidden="1"/>
    <cellStyle name="Followed Hyperlink" xfId="1757" builtinId="9" hidden="1"/>
    <cellStyle name="Followed Hyperlink" xfId="1759" builtinId="9" hidden="1"/>
    <cellStyle name="Followed Hyperlink" xfId="1761" builtinId="9" hidden="1"/>
    <cellStyle name="Followed Hyperlink" xfId="1763" builtinId="9" hidden="1"/>
    <cellStyle name="Followed Hyperlink" xfId="1765" builtinId="9" hidden="1"/>
    <cellStyle name="Followed Hyperlink" xfId="1767" builtinId="9" hidden="1"/>
    <cellStyle name="Followed Hyperlink" xfId="1769" builtinId="9" hidden="1"/>
    <cellStyle name="Followed Hyperlink" xfId="1771" builtinId="9" hidden="1"/>
    <cellStyle name="Followed Hyperlink" xfId="1773" builtinId="9" hidden="1"/>
    <cellStyle name="Followed Hyperlink" xfId="1775" builtinId="9" hidden="1"/>
    <cellStyle name="Followed Hyperlink" xfId="1777" builtinId="9" hidden="1"/>
    <cellStyle name="Followed Hyperlink" xfId="1779" builtinId="9" hidden="1"/>
    <cellStyle name="Followed Hyperlink" xfId="1781" builtinId="9" hidden="1"/>
    <cellStyle name="Followed Hyperlink" xfId="1783" builtinId="9" hidden="1"/>
    <cellStyle name="Followed Hyperlink" xfId="1785" builtinId="9" hidden="1"/>
    <cellStyle name="Followed Hyperlink" xfId="1787" builtinId="9" hidden="1"/>
    <cellStyle name="Followed Hyperlink" xfId="1789" builtinId="9" hidden="1"/>
    <cellStyle name="Followed Hyperlink" xfId="1791" builtinId="9" hidden="1"/>
    <cellStyle name="Followed Hyperlink" xfId="1793" builtinId="9" hidden="1"/>
    <cellStyle name="Followed Hyperlink" xfId="1795" builtinId="9" hidden="1"/>
    <cellStyle name="Followed Hyperlink" xfId="1797" builtinId="9" hidden="1"/>
    <cellStyle name="Followed Hyperlink" xfId="1799" builtinId="9" hidden="1"/>
    <cellStyle name="Followed Hyperlink" xfId="1801" builtinId="9" hidden="1"/>
    <cellStyle name="Followed Hyperlink" xfId="1803" builtinId="9" hidden="1"/>
    <cellStyle name="Followed Hyperlink" xfId="1805" builtinId="9" hidden="1"/>
    <cellStyle name="Followed Hyperlink" xfId="1807" builtinId="9" hidden="1"/>
    <cellStyle name="Followed Hyperlink" xfId="1809" builtinId="9" hidden="1"/>
    <cellStyle name="Followed Hyperlink" xfId="1811" builtinId="9" hidden="1"/>
    <cellStyle name="Followed Hyperlink" xfId="1813" builtinId="9" hidden="1"/>
    <cellStyle name="Followed Hyperlink" xfId="1815" builtinId="9" hidden="1"/>
    <cellStyle name="Followed Hyperlink" xfId="1817" builtinId="9" hidden="1"/>
    <cellStyle name="Followed Hyperlink" xfId="1819" builtinId="9" hidden="1"/>
    <cellStyle name="Followed Hyperlink" xfId="1821" builtinId="9" hidden="1"/>
    <cellStyle name="Followed Hyperlink" xfId="1823" builtinId="9" hidden="1"/>
    <cellStyle name="Followed Hyperlink" xfId="1825" builtinId="9" hidden="1"/>
    <cellStyle name="Followed Hyperlink" xfId="1827" builtinId="9" hidden="1"/>
    <cellStyle name="Followed Hyperlink" xfId="1829" builtinId="9" hidden="1"/>
    <cellStyle name="Followed Hyperlink" xfId="1831" builtinId="9" hidden="1"/>
    <cellStyle name="Followed Hyperlink" xfId="1833" builtinId="9" hidden="1"/>
    <cellStyle name="Followed Hyperlink" xfId="1835" builtinId="9" hidden="1"/>
    <cellStyle name="Followed Hyperlink" xfId="1837" builtinId="9" hidden="1"/>
    <cellStyle name="Followed Hyperlink" xfId="1839" builtinId="9" hidden="1"/>
    <cellStyle name="Followed Hyperlink" xfId="1841" builtinId="9" hidden="1"/>
    <cellStyle name="Followed Hyperlink" xfId="1843" builtinId="9" hidden="1"/>
    <cellStyle name="Followed Hyperlink" xfId="1845" builtinId="9" hidden="1"/>
    <cellStyle name="Followed Hyperlink" xfId="1847" builtinId="9" hidden="1"/>
    <cellStyle name="Followed Hyperlink" xfId="1849" builtinId="9" hidden="1"/>
    <cellStyle name="Followed Hyperlink" xfId="1851" builtinId="9" hidden="1"/>
    <cellStyle name="Followed Hyperlink" xfId="1853" builtinId="9" hidden="1"/>
    <cellStyle name="Followed Hyperlink" xfId="1855" builtinId="9" hidden="1"/>
    <cellStyle name="Followed Hyperlink" xfId="1857" builtinId="9" hidden="1"/>
    <cellStyle name="Followed Hyperlink" xfId="1859" builtinId="9" hidden="1"/>
    <cellStyle name="Followed Hyperlink" xfId="1861" builtinId="9" hidden="1"/>
    <cellStyle name="Followed Hyperlink" xfId="1863" builtinId="9" hidden="1"/>
    <cellStyle name="Followed Hyperlink" xfId="1865" builtinId="9" hidden="1"/>
    <cellStyle name="Followed Hyperlink" xfId="1867" builtinId="9" hidden="1"/>
    <cellStyle name="Followed Hyperlink" xfId="1869" builtinId="9" hidden="1"/>
    <cellStyle name="Followed Hyperlink" xfId="1871" builtinId="9" hidden="1"/>
    <cellStyle name="Followed Hyperlink" xfId="1873" builtinId="9" hidden="1"/>
    <cellStyle name="Followed Hyperlink" xfId="1875" builtinId="9" hidden="1"/>
    <cellStyle name="Followed Hyperlink" xfId="1877" builtinId="9" hidden="1"/>
    <cellStyle name="Followed Hyperlink" xfId="1879" builtinId="9" hidden="1"/>
    <cellStyle name="Followed Hyperlink" xfId="1881" builtinId="9" hidden="1"/>
    <cellStyle name="Followed Hyperlink" xfId="1883" builtinId="9" hidden="1"/>
    <cellStyle name="Followed Hyperlink" xfId="1885" builtinId="9" hidden="1"/>
    <cellStyle name="Followed Hyperlink" xfId="1887" builtinId="9" hidden="1"/>
    <cellStyle name="Followed Hyperlink" xfId="1889" builtinId="9" hidden="1"/>
    <cellStyle name="Followed Hyperlink" xfId="1891" builtinId="9" hidden="1"/>
    <cellStyle name="Followed Hyperlink" xfId="1893" builtinId="9" hidden="1"/>
    <cellStyle name="Followed Hyperlink" xfId="1895" builtinId="9" hidden="1"/>
    <cellStyle name="Followed Hyperlink" xfId="1897" builtinId="9" hidden="1"/>
    <cellStyle name="Followed Hyperlink" xfId="1899" builtinId="9" hidden="1"/>
    <cellStyle name="Followed Hyperlink" xfId="1901" builtinId="9" hidden="1"/>
    <cellStyle name="Followed Hyperlink" xfId="1903" builtinId="9" hidden="1"/>
    <cellStyle name="Followed Hyperlink" xfId="1905" builtinId="9" hidden="1"/>
    <cellStyle name="Followed Hyperlink" xfId="1907" builtinId="9" hidden="1"/>
    <cellStyle name="Followed Hyperlink" xfId="1909" builtinId="9" hidden="1"/>
    <cellStyle name="Followed Hyperlink" xfId="1911" builtinId="9" hidden="1"/>
    <cellStyle name="Followed Hyperlink" xfId="1913" builtinId="9" hidden="1"/>
    <cellStyle name="Followed Hyperlink" xfId="1915" builtinId="9" hidden="1"/>
    <cellStyle name="Followed Hyperlink" xfId="1917" builtinId="9" hidden="1"/>
    <cellStyle name="Followed Hyperlink" xfId="1919" builtinId="9" hidden="1"/>
    <cellStyle name="Followed Hyperlink" xfId="1921" builtinId="9" hidden="1"/>
    <cellStyle name="Followed Hyperlink" xfId="1923" builtinId="9" hidden="1"/>
    <cellStyle name="Followed Hyperlink" xfId="1925" builtinId="9" hidden="1"/>
    <cellStyle name="Followed Hyperlink" xfId="1927" builtinId="9" hidden="1"/>
    <cellStyle name="Followed Hyperlink" xfId="1929" builtinId="9" hidden="1"/>
    <cellStyle name="Followed Hyperlink" xfId="1931" builtinId="9" hidden="1"/>
    <cellStyle name="Followed Hyperlink" xfId="1933" builtinId="9" hidden="1"/>
    <cellStyle name="Followed Hyperlink" xfId="1935" builtinId="9" hidden="1"/>
    <cellStyle name="Followed Hyperlink" xfId="1937" builtinId="9" hidden="1"/>
    <cellStyle name="Followed Hyperlink" xfId="1939" builtinId="9" hidden="1"/>
    <cellStyle name="Followed Hyperlink" xfId="1941" builtinId="9" hidden="1"/>
    <cellStyle name="Followed Hyperlink" xfId="1943" builtinId="9" hidden="1"/>
    <cellStyle name="Followed Hyperlink" xfId="1945" builtinId="9" hidden="1"/>
    <cellStyle name="Followed Hyperlink" xfId="1947" builtinId="9" hidden="1"/>
    <cellStyle name="Followed Hyperlink" xfId="1949" builtinId="9" hidden="1"/>
    <cellStyle name="Followed Hyperlink" xfId="1951" builtinId="9" hidden="1"/>
    <cellStyle name="Followed Hyperlink" xfId="1953" builtinId="9" hidden="1"/>
    <cellStyle name="Followed Hyperlink" xfId="1955" builtinId="9" hidden="1"/>
    <cellStyle name="Followed Hyperlink" xfId="1957" builtinId="9" hidden="1"/>
    <cellStyle name="Followed Hyperlink" xfId="1959" builtinId="9" hidden="1"/>
    <cellStyle name="Followed Hyperlink" xfId="1961" builtinId="9" hidden="1"/>
    <cellStyle name="Followed Hyperlink" xfId="1963" builtinId="9" hidden="1"/>
    <cellStyle name="Followed Hyperlink" xfId="1965" builtinId="9" hidden="1"/>
    <cellStyle name="Followed Hyperlink" xfId="1967" builtinId="9" hidden="1"/>
    <cellStyle name="Followed Hyperlink" xfId="1969" builtinId="9" hidden="1"/>
    <cellStyle name="Followed Hyperlink" xfId="1971" builtinId="9" hidden="1"/>
    <cellStyle name="Followed Hyperlink" xfId="1973" builtinId="9" hidden="1"/>
    <cellStyle name="Followed Hyperlink" xfId="1975" builtinId="9" hidden="1"/>
    <cellStyle name="Followed Hyperlink" xfId="1977" builtinId="9" hidden="1"/>
    <cellStyle name="Followed Hyperlink" xfId="1979" builtinId="9" hidden="1"/>
    <cellStyle name="Followed Hyperlink" xfId="1981" builtinId="9" hidden="1"/>
    <cellStyle name="Followed Hyperlink" xfId="1983" builtinId="9" hidden="1"/>
    <cellStyle name="Followed Hyperlink" xfId="1985" builtinId="9" hidden="1"/>
    <cellStyle name="Followed Hyperlink" xfId="1987" builtinId="9" hidden="1"/>
    <cellStyle name="Followed Hyperlink" xfId="1989" builtinId="9" hidden="1"/>
    <cellStyle name="Followed Hyperlink" xfId="1991" builtinId="9" hidden="1"/>
    <cellStyle name="Followed Hyperlink" xfId="1993" builtinId="9" hidden="1"/>
    <cellStyle name="Followed Hyperlink" xfId="1995" builtinId="9" hidden="1"/>
    <cellStyle name="Followed Hyperlink" xfId="1997" builtinId="9" hidden="1"/>
    <cellStyle name="Followed Hyperlink" xfId="1999" builtinId="9" hidden="1"/>
    <cellStyle name="Followed Hyperlink" xfId="2001" builtinId="9" hidden="1"/>
    <cellStyle name="Followed Hyperlink" xfId="2003" builtinId="9" hidden="1"/>
    <cellStyle name="Followed Hyperlink" xfId="2005" builtinId="9" hidden="1"/>
    <cellStyle name="Followed Hyperlink" xfId="2007" builtinId="9" hidden="1"/>
    <cellStyle name="Followed Hyperlink" xfId="2009" builtinId="9" hidden="1"/>
    <cellStyle name="Followed Hyperlink" xfId="2011" builtinId="9" hidden="1"/>
    <cellStyle name="Followed Hyperlink" xfId="2013" builtinId="9" hidden="1"/>
    <cellStyle name="Followed Hyperlink" xfId="2015" builtinId="9" hidden="1"/>
    <cellStyle name="Followed Hyperlink" xfId="2017" builtinId="9" hidden="1"/>
    <cellStyle name="Followed Hyperlink" xfId="2019" builtinId="9" hidden="1"/>
    <cellStyle name="Followed Hyperlink" xfId="2021" builtinId="9" hidden="1"/>
    <cellStyle name="Followed Hyperlink" xfId="2023" builtinId="9" hidden="1"/>
    <cellStyle name="Followed Hyperlink" xfId="2025" builtinId="9" hidden="1"/>
    <cellStyle name="Followed Hyperlink" xfId="2027" builtinId="9" hidden="1"/>
    <cellStyle name="Followed Hyperlink" xfId="2029" builtinId="9" hidden="1"/>
    <cellStyle name="Followed Hyperlink" xfId="2031" builtinId="9" hidden="1"/>
    <cellStyle name="Followed Hyperlink" xfId="2033" builtinId="9" hidden="1"/>
    <cellStyle name="Followed Hyperlink" xfId="2035" builtinId="9" hidden="1"/>
    <cellStyle name="Followed Hyperlink" xfId="2037" builtinId="9" hidden="1"/>
    <cellStyle name="Followed Hyperlink" xfId="2039" builtinId="9" hidden="1"/>
    <cellStyle name="Followed Hyperlink" xfId="2041" builtinId="9" hidden="1"/>
    <cellStyle name="Followed Hyperlink" xfId="2043" builtinId="9" hidden="1"/>
    <cellStyle name="Followed Hyperlink" xfId="2045" builtinId="9" hidden="1"/>
    <cellStyle name="Followed Hyperlink" xfId="2047" builtinId="9" hidden="1"/>
    <cellStyle name="Followed Hyperlink" xfId="2049" builtinId="9" hidden="1"/>
    <cellStyle name="Followed Hyperlink" xfId="2051" builtinId="9" hidden="1"/>
    <cellStyle name="Followed Hyperlink" xfId="2053" builtinId="9" hidden="1"/>
    <cellStyle name="Followed Hyperlink" xfId="2055" builtinId="9" hidden="1"/>
    <cellStyle name="Followed Hyperlink" xfId="2057" builtinId="9" hidden="1"/>
    <cellStyle name="Followed Hyperlink" xfId="2059" builtinId="9" hidden="1"/>
    <cellStyle name="Followed Hyperlink" xfId="2061" builtinId="9" hidden="1"/>
    <cellStyle name="Followed Hyperlink" xfId="2063" builtinId="9" hidden="1"/>
    <cellStyle name="Followed Hyperlink" xfId="2065" builtinId="9" hidden="1"/>
    <cellStyle name="Followed Hyperlink" xfId="2067" builtinId="9" hidden="1"/>
    <cellStyle name="Followed Hyperlink" xfId="2069" builtinId="9" hidden="1"/>
    <cellStyle name="Followed Hyperlink" xfId="2071" builtinId="9" hidden="1"/>
    <cellStyle name="Followed Hyperlink" xfId="2073" builtinId="9" hidden="1"/>
    <cellStyle name="Followed Hyperlink" xfId="2075" builtinId="9" hidden="1"/>
    <cellStyle name="Followed Hyperlink" xfId="2077" builtinId="9" hidden="1"/>
    <cellStyle name="Followed Hyperlink" xfId="2079" builtinId="9" hidden="1"/>
    <cellStyle name="Followed Hyperlink" xfId="2081" builtinId="9" hidden="1"/>
    <cellStyle name="Followed Hyperlink" xfId="2083" builtinId="9" hidden="1"/>
    <cellStyle name="Followed Hyperlink" xfId="2085" builtinId="9" hidden="1"/>
    <cellStyle name="Followed Hyperlink" xfId="2087" builtinId="9" hidden="1"/>
    <cellStyle name="Followed Hyperlink" xfId="2089" builtinId="9" hidden="1"/>
    <cellStyle name="Followed Hyperlink" xfId="2091" builtinId="9" hidden="1"/>
    <cellStyle name="Followed Hyperlink" xfId="2093" builtinId="9" hidden="1"/>
    <cellStyle name="Followed Hyperlink" xfId="2095" builtinId="9" hidden="1"/>
    <cellStyle name="Followed Hyperlink" xfId="2097" builtinId="9" hidden="1"/>
    <cellStyle name="Followed Hyperlink" xfId="2099" builtinId="9" hidden="1"/>
    <cellStyle name="Followed Hyperlink" xfId="2101" builtinId="9" hidden="1"/>
    <cellStyle name="Followed Hyperlink" xfId="2103" builtinId="9" hidden="1"/>
    <cellStyle name="Followed Hyperlink" xfId="2105" builtinId="9" hidden="1"/>
    <cellStyle name="Followed Hyperlink" xfId="2107" builtinId="9" hidden="1"/>
    <cellStyle name="Followed Hyperlink" xfId="2109" builtinId="9" hidden="1"/>
    <cellStyle name="Followed Hyperlink" xfId="2111" builtinId="9" hidden="1"/>
    <cellStyle name="Followed Hyperlink" xfId="2113" builtinId="9" hidden="1"/>
    <cellStyle name="Followed Hyperlink" xfId="2115" builtinId="9" hidden="1"/>
    <cellStyle name="Followed Hyperlink" xfId="2117" builtinId="9" hidden="1"/>
    <cellStyle name="Followed Hyperlink" xfId="2119" builtinId="9" hidden="1"/>
    <cellStyle name="Followed Hyperlink" xfId="2121" builtinId="9" hidden="1"/>
    <cellStyle name="Followed Hyperlink" xfId="2123" builtinId="9" hidden="1"/>
    <cellStyle name="Followed Hyperlink" xfId="2125" builtinId="9" hidden="1"/>
    <cellStyle name="Followed Hyperlink" xfId="2127" builtinId="9" hidden="1"/>
    <cellStyle name="Followed Hyperlink" xfId="2129" builtinId="9" hidden="1"/>
    <cellStyle name="Followed Hyperlink" xfId="2131" builtinId="9" hidden="1"/>
    <cellStyle name="Followed Hyperlink" xfId="2133" builtinId="9" hidden="1"/>
    <cellStyle name="Followed Hyperlink" xfId="2135" builtinId="9" hidden="1"/>
    <cellStyle name="Followed Hyperlink" xfId="2137" builtinId="9" hidden="1"/>
    <cellStyle name="Followed Hyperlink" xfId="2139" builtinId="9" hidden="1"/>
    <cellStyle name="Followed Hyperlink" xfId="2141" builtinId="9" hidden="1"/>
    <cellStyle name="Followed Hyperlink" xfId="2143" builtinId="9" hidden="1"/>
    <cellStyle name="Followed Hyperlink" xfId="2145" builtinId="9" hidden="1"/>
    <cellStyle name="Followed Hyperlink" xfId="2147" builtinId="9" hidden="1"/>
    <cellStyle name="Followed Hyperlink" xfId="2149" builtinId="9" hidden="1"/>
    <cellStyle name="Followed Hyperlink" xfId="2151" builtinId="9" hidden="1"/>
    <cellStyle name="Followed Hyperlink" xfId="2153" builtinId="9" hidden="1"/>
    <cellStyle name="Followed Hyperlink" xfId="2155" builtinId="9" hidden="1"/>
    <cellStyle name="Followed Hyperlink" xfId="2157" builtinId="9" hidden="1"/>
    <cellStyle name="Followed Hyperlink" xfId="2159" builtinId="9" hidden="1"/>
    <cellStyle name="Followed Hyperlink" xfId="2161" builtinId="9" hidden="1"/>
    <cellStyle name="Good" xfId="1" builtinId="26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Hyperlink" xfId="826" builtinId="8" hidden="1"/>
    <cellStyle name="Hyperlink" xfId="828" builtinId="8" hidden="1"/>
    <cellStyle name="Hyperlink" xfId="830" builtinId="8" hidden="1"/>
    <cellStyle name="Hyperlink" xfId="832" builtinId="8" hidden="1"/>
    <cellStyle name="Hyperlink" xfId="834" builtinId="8" hidden="1"/>
    <cellStyle name="Hyperlink" xfId="836" builtinId="8" hidden="1"/>
    <cellStyle name="Hyperlink" xfId="838" builtinId="8" hidden="1"/>
    <cellStyle name="Hyperlink" xfId="840" builtinId="8" hidden="1"/>
    <cellStyle name="Hyperlink" xfId="842" builtinId="8" hidden="1"/>
    <cellStyle name="Hyperlink" xfId="844" builtinId="8" hidden="1"/>
    <cellStyle name="Hyperlink" xfId="846" builtinId="8" hidden="1"/>
    <cellStyle name="Hyperlink" xfId="848" builtinId="8" hidden="1"/>
    <cellStyle name="Hyperlink" xfId="850" builtinId="8" hidden="1"/>
    <cellStyle name="Hyperlink" xfId="852" builtinId="8" hidden="1"/>
    <cellStyle name="Hyperlink" xfId="854" builtinId="8" hidden="1"/>
    <cellStyle name="Hyperlink" xfId="856" builtinId="8" hidden="1"/>
    <cellStyle name="Hyperlink" xfId="858" builtinId="8" hidden="1"/>
    <cellStyle name="Hyperlink" xfId="860" builtinId="8" hidden="1"/>
    <cellStyle name="Hyperlink" xfId="862" builtinId="8" hidden="1"/>
    <cellStyle name="Hyperlink" xfId="864" builtinId="8" hidden="1"/>
    <cellStyle name="Hyperlink" xfId="866" builtinId="8" hidden="1"/>
    <cellStyle name="Hyperlink" xfId="868" builtinId="8" hidden="1"/>
    <cellStyle name="Hyperlink" xfId="870" builtinId="8" hidden="1"/>
    <cellStyle name="Hyperlink" xfId="872" builtinId="8" hidden="1"/>
    <cellStyle name="Hyperlink" xfId="874" builtinId="8" hidden="1"/>
    <cellStyle name="Hyperlink" xfId="876" builtinId="8" hidden="1"/>
    <cellStyle name="Hyperlink" xfId="878" builtinId="8" hidden="1"/>
    <cellStyle name="Hyperlink" xfId="880" builtinId="8" hidden="1"/>
    <cellStyle name="Hyperlink" xfId="882" builtinId="8" hidden="1"/>
    <cellStyle name="Hyperlink" xfId="884" builtinId="8" hidden="1"/>
    <cellStyle name="Hyperlink" xfId="886" builtinId="8" hidden="1"/>
    <cellStyle name="Hyperlink" xfId="888" builtinId="8" hidden="1"/>
    <cellStyle name="Hyperlink" xfId="890" builtinId="8" hidden="1"/>
    <cellStyle name="Hyperlink" xfId="892" builtinId="8" hidden="1"/>
    <cellStyle name="Hyperlink" xfId="894" builtinId="8" hidden="1"/>
    <cellStyle name="Hyperlink" xfId="896" builtinId="8" hidden="1"/>
    <cellStyle name="Hyperlink" xfId="898" builtinId="8" hidden="1"/>
    <cellStyle name="Hyperlink" xfId="900" builtinId="8" hidden="1"/>
    <cellStyle name="Hyperlink" xfId="902" builtinId="8" hidden="1"/>
    <cellStyle name="Hyperlink" xfId="904" builtinId="8" hidden="1"/>
    <cellStyle name="Hyperlink" xfId="906" builtinId="8" hidden="1"/>
    <cellStyle name="Hyperlink" xfId="908" builtinId="8" hidden="1"/>
    <cellStyle name="Hyperlink" xfId="910" builtinId="8" hidden="1"/>
    <cellStyle name="Hyperlink" xfId="912" builtinId="8" hidden="1"/>
    <cellStyle name="Hyperlink" xfId="914" builtinId="8" hidden="1"/>
    <cellStyle name="Hyperlink" xfId="916" builtinId="8" hidden="1"/>
    <cellStyle name="Hyperlink" xfId="918" builtinId="8" hidden="1"/>
    <cellStyle name="Hyperlink" xfId="920" builtinId="8" hidden="1"/>
    <cellStyle name="Hyperlink" xfId="922" builtinId="8" hidden="1"/>
    <cellStyle name="Hyperlink" xfId="924" builtinId="8" hidden="1"/>
    <cellStyle name="Hyperlink" xfId="926" builtinId="8" hidden="1"/>
    <cellStyle name="Hyperlink" xfId="928" builtinId="8" hidden="1"/>
    <cellStyle name="Hyperlink" xfId="930" builtinId="8" hidden="1"/>
    <cellStyle name="Hyperlink" xfId="932" builtinId="8" hidden="1"/>
    <cellStyle name="Hyperlink" xfId="934" builtinId="8" hidden="1"/>
    <cellStyle name="Hyperlink" xfId="936" builtinId="8" hidden="1"/>
    <cellStyle name="Hyperlink" xfId="938" builtinId="8" hidden="1"/>
    <cellStyle name="Hyperlink" xfId="940" builtinId="8" hidden="1"/>
    <cellStyle name="Hyperlink" xfId="942" builtinId="8" hidden="1"/>
    <cellStyle name="Hyperlink" xfId="944" builtinId="8" hidden="1"/>
    <cellStyle name="Hyperlink" xfId="946" builtinId="8" hidden="1"/>
    <cellStyle name="Hyperlink" xfId="948" builtinId="8" hidden="1"/>
    <cellStyle name="Hyperlink" xfId="950" builtinId="8" hidden="1"/>
    <cellStyle name="Hyperlink" xfId="952" builtinId="8" hidden="1"/>
    <cellStyle name="Hyperlink" xfId="954" builtinId="8" hidden="1"/>
    <cellStyle name="Hyperlink" xfId="956" builtinId="8" hidden="1"/>
    <cellStyle name="Hyperlink" xfId="958" builtinId="8" hidden="1"/>
    <cellStyle name="Hyperlink" xfId="960" builtinId="8" hidden="1"/>
    <cellStyle name="Hyperlink" xfId="962" builtinId="8" hidden="1"/>
    <cellStyle name="Hyperlink" xfId="964" builtinId="8" hidden="1"/>
    <cellStyle name="Hyperlink" xfId="966" builtinId="8" hidden="1"/>
    <cellStyle name="Hyperlink" xfId="968" builtinId="8" hidden="1"/>
    <cellStyle name="Hyperlink" xfId="970" builtinId="8" hidden="1"/>
    <cellStyle name="Hyperlink" xfId="972" builtinId="8" hidden="1"/>
    <cellStyle name="Hyperlink" xfId="974" builtinId="8" hidden="1"/>
    <cellStyle name="Hyperlink" xfId="976" builtinId="8" hidden="1"/>
    <cellStyle name="Hyperlink" xfId="978" builtinId="8" hidden="1"/>
    <cellStyle name="Hyperlink" xfId="980" builtinId="8" hidden="1"/>
    <cellStyle name="Hyperlink" xfId="982" builtinId="8" hidden="1"/>
    <cellStyle name="Hyperlink" xfId="984" builtinId="8" hidden="1"/>
    <cellStyle name="Hyperlink" xfId="986" builtinId="8" hidden="1"/>
    <cellStyle name="Hyperlink" xfId="988" builtinId="8" hidden="1"/>
    <cellStyle name="Hyperlink" xfId="990" builtinId="8" hidden="1"/>
    <cellStyle name="Hyperlink" xfId="992" builtinId="8" hidden="1"/>
    <cellStyle name="Hyperlink" xfId="994" builtinId="8" hidden="1"/>
    <cellStyle name="Hyperlink" xfId="996" builtinId="8" hidden="1"/>
    <cellStyle name="Hyperlink" xfId="998" builtinId="8" hidden="1"/>
    <cellStyle name="Hyperlink" xfId="1000" builtinId="8" hidden="1"/>
    <cellStyle name="Hyperlink" xfId="1002" builtinId="8" hidden="1"/>
    <cellStyle name="Hyperlink" xfId="1004" builtinId="8" hidden="1"/>
    <cellStyle name="Hyperlink" xfId="1006" builtinId="8" hidden="1"/>
    <cellStyle name="Hyperlink" xfId="1008" builtinId="8" hidden="1"/>
    <cellStyle name="Hyperlink" xfId="1010" builtinId="8" hidden="1"/>
    <cellStyle name="Hyperlink" xfId="1012" builtinId="8" hidden="1"/>
    <cellStyle name="Hyperlink" xfId="1014" builtinId="8" hidden="1"/>
    <cellStyle name="Hyperlink" xfId="1016" builtinId="8" hidden="1"/>
    <cellStyle name="Hyperlink" xfId="1018" builtinId="8" hidden="1"/>
    <cellStyle name="Hyperlink" xfId="1020" builtinId="8" hidden="1"/>
    <cellStyle name="Hyperlink" xfId="1022" builtinId="8" hidden="1"/>
    <cellStyle name="Hyperlink" xfId="1024" builtinId="8" hidden="1"/>
    <cellStyle name="Hyperlink" xfId="1026" builtinId="8" hidden="1"/>
    <cellStyle name="Hyperlink" xfId="1028" builtinId="8" hidden="1"/>
    <cellStyle name="Hyperlink" xfId="1030" builtinId="8" hidden="1"/>
    <cellStyle name="Hyperlink" xfId="1032" builtinId="8" hidden="1"/>
    <cellStyle name="Hyperlink" xfId="1034" builtinId="8" hidden="1"/>
    <cellStyle name="Hyperlink" xfId="1036" builtinId="8" hidden="1"/>
    <cellStyle name="Hyperlink" xfId="1038" builtinId="8" hidden="1"/>
    <cellStyle name="Hyperlink" xfId="1040" builtinId="8" hidden="1"/>
    <cellStyle name="Hyperlink" xfId="1042" builtinId="8" hidden="1"/>
    <cellStyle name="Hyperlink" xfId="1044" builtinId="8" hidden="1"/>
    <cellStyle name="Hyperlink" xfId="1046" builtinId="8" hidden="1"/>
    <cellStyle name="Hyperlink" xfId="1048" builtinId="8" hidden="1"/>
    <cellStyle name="Hyperlink" xfId="1050" builtinId="8" hidden="1"/>
    <cellStyle name="Hyperlink" xfId="1052" builtinId="8" hidden="1"/>
    <cellStyle name="Hyperlink" xfId="1054" builtinId="8" hidden="1"/>
    <cellStyle name="Hyperlink" xfId="1056" builtinId="8" hidden="1"/>
    <cellStyle name="Hyperlink" xfId="1058" builtinId="8" hidden="1"/>
    <cellStyle name="Hyperlink" xfId="1060" builtinId="8" hidden="1"/>
    <cellStyle name="Hyperlink" xfId="1062" builtinId="8" hidden="1"/>
    <cellStyle name="Hyperlink" xfId="1064" builtinId="8" hidden="1"/>
    <cellStyle name="Hyperlink" xfId="1066" builtinId="8" hidden="1"/>
    <cellStyle name="Hyperlink" xfId="1068" builtinId="8" hidden="1"/>
    <cellStyle name="Hyperlink" xfId="1070" builtinId="8" hidden="1"/>
    <cellStyle name="Hyperlink" xfId="1072" builtinId="8" hidden="1"/>
    <cellStyle name="Hyperlink" xfId="1074" builtinId="8" hidden="1"/>
    <cellStyle name="Hyperlink" xfId="1076" builtinId="8" hidden="1"/>
    <cellStyle name="Hyperlink" xfId="1078" builtinId="8" hidden="1"/>
    <cellStyle name="Hyperlink" xfId="1080" builtinId="8" hidden="1"/>
    <cellStyle name="Hyperlink" xfId="1082" builtinId="8" hidden="1"/>
    <cellStyle name="Hyperlink" xfId="1084" builtinId="8" hidden="1"/>
    <cellStyle name="Hyperlink" xfId="1086" builtinId="8" hidden="1"/>
    <cellStyle name="Hyperlink" xfId="1088" builtinId="8" hidden="1"/>
    <cellStyle name="Hyperlink" xfId="1090" builtinId="8" hidden="1"/>
    <cellStyle name="Hyperlink" xfId="1092" builtinId="8" hidden="1"/>
    <cellStyle name="Hyperlink" xfId="1094" builtinId="8" hidden="1"/>
    <cellStyle name="Hyperlink" xfId="1096" builtinId="8" hidden="1"/>
    <cellStyle name="Hyperlink" xfId="1098" builtinId="8" hidden="1"/>
    <cellStyle name="Hyperlink" xfId="1100" builtinId="8" hidden="1"/>
    <cellStyle name="Hyperlink" xfId="1102" builtinId="8" hidden="1"/>
    <cellStyle name="Hyperlink" xfId="1104" builtinId="8" hidden="1"/>
    <cellStyle name="Hyperlink" xfId="1106" builtinId="8" hidden="1"/>
    <cellStyle name="Hyperlink" xfId="1108" builtinId="8" hidden="1"/>
    <cellStyle name="Hyperlink" xfId="1110" builtinId="8" hidden="1"/>
    <cellStyle name="Hyperlink" xfId="1112" builtinId="8" hidden="1"/>
    <cellStyle name="Hyperlink" xfId="1114" builtinId="8" hidden="1"/>
    <cellStyle name="Hyperlink" xfId="1116" builtinId="8" hidden="1"/>
    <cellStyle name="Hyperlink" xfId="1118" builtinId="8" hidden="1"/>
    <cellStyle name="Hyperlink" xfId="1120" builtinId="8" hidden="1"/>
    <cellStyle name="Hyperlink" xfId="1122" builtinId="8" hidden="1"/>
    <cellStyle name="Hyperlink" xfId="1124" builtinId="8" hidden="1"/>
    <cellStyle name="Hyperlink" xfId="1126" builtinId="8" hidden="1"/>
    <cellStyle name="Hyperlink" xfId="1128" builtinId="8" hidden="1"/>
    <cellStyle name="Hyperlink" xfId="1130" builtinId="8" hidden="1"/>
    <cellStyle name="Hyperlink" xfId="1132" builtinId="8" hidden="1"/>
    <cellStyle name="Hyperlink" xfId="1134" builtinId="8" hidden="1"/>
    <cellStyle name="Hyperlink" xfId="1136" builtinId="8" hidden="1"/>
    <cellStyle name="Hyperlink" xfId="1138" builtinId="8" hidden="1"/>
    <cellStyle name="Hyperlink" xfId="1140" builtinId="8" hidden="1"/>
    <cellStyle name="Hyperlink" xfId="1142" builtinId="8" hidden="1"/>
    <cellStyle name="Hyperlink" xfId="1144" builtinId="8" hidden="1"/>
    <cellStyle name="Hyperlink" xfId="1146" builtinId="8" hidden="1"/>
    <cellStyle name="Hyperlink" xfId="1148" builtinId="8" hidden="1"/>
    <cellStyle name="Hyperlink" xfId="1150" builtinId="8" hidden="1"/>
    <cellStyle name="Hyperlink" xfId="1152" builtinId="8" hidden="1"/>
    <cellStyle name="Hyperlink" xfId="1154" builtinId="8" hidden="1"/>
    <cellStyle name="Hyperlink" xfId="1156" builtinId="8" hidden="1"/>
    <cellStyle name="Hyperlink" xfId="1158" builtinId="8" hidden="1"/>
    <cellStyle name="Hyperlink" xfId="1160" builtinId="8" hidden="1"/>
    <cellStyle name="Hyperlink" xfId="1162" builtinId="8" hidden="1"/>
    <cellStyle name="Hyperlink" xfId="1164" builtinId="8" hidden="1"/>
    <cellStyle name="Hyperlink" xfId="1166" builtinId="8" hidden="1"/>
    <cellStyle name="Hyperlink" xfId="1168" builtinId="8" hidden="1"/>
    <cellStyle name="Hyperlink" xfId="1170" builtinId="8" hidden="1"/>
    <cellStyle name="Hyperlink" xfId="1172" builtinId="8" hidden="1"/>
    <cellStyle name="Hyperlink" xfId="1174" builtinId="8" hidden="1"/>
    <cellStyle name="Hyperlink" xfId="1176" builtinId="8" hidden="1"/>
    <cellStyle name="Hyperlink" xfId="1178" builtinId="8" hidden="1"/>
    <cellStyle name="Hyperlink" xfId="1180" builtinId="8" hidden="1"/>
    <cellStyle name="Hyperlink" xfId="1182" builtinId="8" hidden="1"/>
    <cellStyle name="Hyperlink" xfId="1184" builtinId="8" hidden="1"/>
    <cellStyle name="Hyperlink" xfId="1186" builtinId="8" hidden="1"/>
    <cellStyle name="Hyperlink" xfId="1188" builtinId="8" hidden="1"/>
    <cellStyle name="Hyperlink" xfId="1190" builtinId="8" hidden="1"/>
    <cellStyle name="Hyperlink" xfId="1192" builtinId="8" hidden="1"/>
    <cellStyle name="Hyperlink" xfId="1194" builtinId="8" hidden="1"/>
    <cellStyle name="Hyperlink" xfId="1196" builtinId="8" hidden="1"/>
    <cellStyle name="Hyperlink" xfId="1198" builtinId="8" hidden="1"/>
    <cellStyle name="Hyperlink" xfId="1200" builtinId="8" hidden="1"/>
    <cellStyle name="Hyperlink" xfId="1202" builtinId="8" hidden="1"/>
    <cellStyle name="Hyperlink" xfId="1204" builtinId="8" hidden="1"/>
    <cellStyle name="Hyperlink" xfId="1206" builtinId="8" hidden="1"/>
    <cellStyle name="Hyperlink" xfId="1208" builtinId="8" hidden="1"/>
    <cellStyle name="Hyperlink" xfId="1210" builtinId="8" hidden="1"/>
    <cellStyle name="Hyperlink" xfId="1212" builtinId="8" hidden="1"/>
    <cellStyle name="Hyperlink" xfId="1214" builtinId="8" hidden="1"/>
    <cellStyle name="Hyperlink" xfId="1216" builtinId="8" hidden="1"/>
    <cellStyle name="Hyperlink" xfId="1218" builtinId="8" hidden="1"/>
    <cellStyle name="Hyperlink" xfId="1220" builtinId="8" hidden="1"/>
    <cellStyle name="Hyperlink" xfId="1222" builtinId="8" hidden="1"/>
    <cellStyle name="Hyperlink" xfId="1224" builtinId="8" hidden="1"/>
    <cellStyle name="Hyperlink" xfId="1226" builtinId="8" hidden="1"/>
    <cellStyle name="Hyperlink" xfId="1228" builtinId="8" hidden="1"/>
    <cellStyle name="Hyperlink" xfId="1230" builtinId="8" hidden="1"/>
    <cellStyle name="Hyperlink" xfId="1232" builtinId="8" hidden="1"/>
    <cellStyle name="Hyperlink" xfId="1234" builtinId="8" hidden="1"/>
    <cellStyle name="Hyperlink" xfId="1236" builtinId="8" hidden="1"/>
    <cellStyle name="Hyperlink" xfId="1238" builtinId="8" hidden="1"/>
    <cellStyle name="Hyperlink" xfId="1240" builtinId="8" hidden="1"/>
    <cellStyle name="Hyperlink" xfId="1242" builtinId="8" hidden="1"/>
    <cellStyle name="Hyperlink" xfId="1244" builtinId="8" hidden="1"/>
    <cellStyle name="Hyperlink" xfId="1246" builtinId="8" hidden="1"/>
    <cellStyle name="Hyperlink" xfId="1248" builtinId="8" hidden="1"/>
    <cellStyle name="Hyperlink" xfId="1250" builtinId="8" hidden="1"/>
    <cellStyle name="Hyperlink" xfId="1252" builtinId="8" hidden="1"/>
    <cellStyle name="Hyperlink" xfId="1254" builtinId="8" hidden="1"/>
    <cellStyle name="Hyperlink" xfId="1256" builtinId="8" hidden="1"/>
    <cellStyle name="Hyperlink" xfId="1258" builtinId="8" hidden="1"/>
    <cellStyle name="Hyperlink" xfId="1260" builtinId="8" hidden="1"/>
    <cellStyle name="Hyperlink" xfId="1262" builtinId="8" hidden="1"/>
    <cellStyle name="Hyperlink" xfId="1264" builtinId="8" hidden="1"/>
    <cellStyle name="Hyperlink" xfId="1266" builtinId="8" hidden="1"/>
    <cellStyle name="Hyperlink" xfId="1268" builtinId="8" hidden="1"/>
    <cellStyle name="Hyperlink" xfId="1270" builtinId="8" hidden="1"/>
    <cellStyle name="Hyperlink" xfId="1272" builtinId="8" hidden="1"/>
    <cellStyle name="Hyperlink" xfId="1274" builtinId="8" hidden="1"/>
    <cellStyle name="Hyperlink" xfId="1276" builtinId="8" hidden="1"/>
    <cellStyle name="Hyperlink" xfId="1278" builtinId="8" hidden="1"/>
    <cellStyle name="Hyperlink" xfId="1280" builtinId="8" hidden="1"/>
    <cellStyle name="Hyperlink" xfId="1282" builtinId="8" hidden="1"/>
    <cellStyle name="Hyperlink" xfId="1284" builtinId="8" hidden="1"/>
    <cellStyle name="Hyperlink" xfId="1286" builtinId="8" hidden="1"/>
    <cellStyle name="Hyperlink" xfId="1288" builtinId="8" hidden="1"/>
    <cellStyle name="Hyperlink" xfId="1290" builtinId="8" hidden="1"/>
    <cellStyle name="Hyperlink" xfId="1292" builtinId="8" hidden="1"/>
    <cellStyle name="Hyperlink" xfId="1294" builtinId="8" hidden="1"/>
    <cellStyle name="Hyperlink" xfId="1296" builtinId="8" hidden="1"/>
    <cellStyle name="Hyperlink" xfId="1298" builtinId="8" hidden="1"/>
    <cellStyle name="Hyperlink" xfId="1300" builtinId="8" hidden="1"/>
    <cellStyle name="Hyperlink" xfId="1302" builtinId="8" hidden="1"/>
    <cellStyle name="Hyperlink" xfId="1304" builtinId="8" hidden="1"/>
    <cellStyle name="Hyperlink" xfId="1306" builtinId="8" hidden="1"/>
    <cellStyle name="Hyperlink" xfId="1308" builtinId="8" hidden="1"/>
    <cellStyle name="Hyperlink" xfId="1310" builtinId="8" hidden="1"/>
    <cellStyle name="Hyperlink" xfId="1312" builtinId="8" hidden="1"/>
    <cellStyle name="Hyperlink" xfId="1314" builtinId="8" hidden="1"/>
    <cellStyle name="Hyperlink" xfId="1316" builtinId="8" hidden="1"/>
    <cellStyle name="Hyperlink" xfId="1318" builtinId="8" hidden="1"/>
    <cellStyle name="Hyperlink" xfId="1320" builtinId="8" hidden="1"/>
    <cellStyle name="Hyperlink" xfId="1322" builtinId="8" hidden="1"/>
    <cellStyle name="Hyperlink" xfId="1324" builtinId="8" hidden="1"/>
    <cellStyle name="Hyperlink" xfId="1326" builtinId="8" hidden="1"/>
    <cellStyle name="Hyperlink" xfId="1328" builtinId="8" hidden="1"/>
    <cellStyle name="Hyperlink" xfId="1330" builtinId="8" hidden="1"/>
    <cellStyle name="Hyperlink" xfId="1332" builtinId="8" hidden="1"/>
    <cellStyle name="Hyperlink" xfId="1334" builtinId="8" hidden="1"/>
    <cellStyle name="Hyperlink" xfId="1336" builtinId="8" hidden="1"/>
    <cellStyle name="Hyperlink" xfId="1338" builtinId="8" hidden="1"/>
    <cellStyle name="Hyperlink" xfId="1340" builtinId="8" hidden="1"/>
    <cellStyle name="Hyperlink" xfId="1342" builtinId="8" hidden="1"/>
    <cellStyle name="Hyperlink" xfId="1344" builtinId="8" hidden="1"/>
    <cellStyle name="Hyperlink" xfId="1346" builtinId="8" hidden="1"/>
    <cellStyle name="Hyperlink" xfId="1348" builtinId="8" hidden="1"/>
    <cellStyle name="Hyperlink" xfId="1350" builtinId="8" hidden="1"/>
    <cellStyle name="Hyperlink" xfId="1352" builtinId="8" hidden="1"/>
    <cellStyle name="Hyperlink" xfId="1354" builtinId="8" hidden="1"/>
    <cellStyle name="Hyperlink" xfId="1356" builtinId="8" hidden="1"/>
    <cellStyle name="Hyperlink" xfId="1358" builtinId="8" hidden="1"/>
    <cellStyle name="Hyperlink" xfId="1360" builtinId="8" hidden="1"/>
    <cellStyle name="Hyperlink" xfId="1362" builtinId="8" hidden="1"/>
    <cellStyle name="Hyperlink" xfId="1364" builtinId="8" hidden="1"/>
    <cellStyle name="Hyperlink" xfId="1366" builtinId="8" hidden="1"/>
    <cellStyle name="Hyperlink" xfId="1368" builtinId="8" hidden="1"/>
    <cellStyle name="Hyperlink" xfId="1370" builtinId="8" hidden="1"/>
    <cellStyle name="Hyperlink" xfId="1372" builtinId="8" hidden="1"/>
    <cellStyle name="Hyperlink" xfId="1374" builtinId="8" hidden="1"/>
    <cellStyle name="Hyperlink" xfId="1376" builtinId="8" hidden="1"/>
    <cellStyle name="Hyperlink" xfId="1378" builtinId="8" hidden="1"/>
    <cellStyle name="Hyperlink" xfId="1380" builtinId="8" hidden="1"/>
    <cellStyle name="Hyperlink" xfId="1382" builtinId="8" hidden="1"/>
    <cellStyle name="Hyperlink" xfId="1384" builtinId="8" hidden="1"/>
    <cellStyle name="Hyperlink" xfId="1386" builtinId="8" hidden="1"/>
    <cellStyle name="Hyperlink" xfId="1388" builtinId="8" hidden="1"/>
    <cellStyle name="Hyperlink" xfId="1390" builtinId="8" hidden="1"/>
    <cellStyle name="Hyperlink" xfId="1392" builtinId="8" hidden="1"/>
    <cellStyle name="Hyperlink" xfId="1394" builtinId="8" hidden="1"/>
    <cellStyle name="Hyperlink" xfId="1396" builtinId="8" hidden="1"/>
    <cellStyle name="Hyperlink" xfId="1398" builtinId="8" hidden="1"/>
    <cellStyle name="Hyperlink" xfId="1400" builtinId="8" hidden="1"/>
    <cellStyle name="Hyperlink" xfId="1402" builtinId="8" hidden="1"/>
    <cellStyle name="Hyperlink" xfId="1404" builtinId="8" hidden="1"/>
    <cellStyle name="Hyperlink" xfId="1406" builtinId="8" hidden="1"/>
    <cellStyle name="Hyperlink" xfId="1408" builtinId="8" hidden="1"/>
    <cellStyle name="Hyperlink" xfId="1410" builtinId="8" hidden="1"/>
    <cellStyle name="Hyperlink" xfId="1412" builtinId="8" hidden="1"/>
    <cellStyle name="Hyperlink" xfId="1414" builtinId="8" hidden="1"/>
    <cellStyle name="Hyperlink" xfId="1416" builtinId="8" hidden="1"/>
    <cellStyle name="Hyperlink" xfId="1418" builtinId="8" hidden="1"/>
    <cellStyle name="Hyperlink" xfId="1420" builtinId="8" hidden="1"/>
    <cellStyle name="Hyperlink" xfId="1422" builtinId="8" hidden="1"/>
    <cellStyle name="Hyperlink" xfId="1424" builtinId="8" hidden="1"/>
    <cellStyle name="Hyperlink" xfId="1426" builtinId="8" hidden="1"/>
    <cellStyle name="Hyperlink" xfId="1428" builtinId="8" hidden="1"/>
    <cellStyle name="Hyperlink" xfId="1430" builtinId="8" hidden="1"/>
    <cellStyle name="Hyperlink" xfId="1432" builtinId="8" hidden="1"/>
    <cellStyle name="Hyperlink" xfId="1434" builtinId="8" hidden="1"/>
    <cellStyle name="Hyperlink" xfId="1436" builtinId="8" hidden="1"/>
    <cellStyle name="Hyperlink" xfId="1438" builtinId="8" hidden="1"/>
    <cellStyle name="Hyperlink" xfId="1440" builtinId="8" hidden="1"/>
    <cellStyle name="Hyperlink" xfId="1442" builtinId="8" hidden="1"/>
    <cellStyle name="Hyperlink" xfId="1444" builtinId="8" hidden="1"/>
    <cellStyle name="Hyperlink" xfId="1446" builtinId="8" hidden="1"/>
    <cellStyle name="Hyperlink" xfId="1448" builtinId="8" hidden="1"/>
    <cellStyle name="Hyperlink" xfId="1450" builtinId="8" hidden="1"/>
    <cellStyle name="Hyperlink" xfId="1452" builtinId="8" hidden="1"/>
    <cellStyle name="Hyperlink" xfId="1454" builtinId="8" hidden="1"/>
    <cellStyle name="Hyperlink" xfId="1456" builtinId="8" hidden="1"/>
    <cellStyle name="Hyperlink" xfId="1458" builtinId="8" hidden="1"/>
    <cellStyle name="Hyperlink" xfId="1460" builtinId="8" hidden="1"/>
    <cellStyle name="Hyperlink" xfId="1462" builtinId="8" hidden="1"/>
    <cellStyle name="Hyperlink" xfId="1464" builtinId="8" hidden="1"/>
    <cellStyle name="Hyperlink" xfId="1466" builtinId="8" hidden="1"/>
    <cellStyle name="Hyperlink" xfId="1468" builtinId="8" hidden="1"/>
    <cellStyle name="Hyperlink" xfId="1470" builtinId="8" hidden="1"/>
    <cellStyle name="Hyperlink" xfId="1472" builtinId="8" hidden="1"/>
    <cellStyle name="Hyperlink" xfId="1474" builtinId="8" hidden="1"/>
    <cellStyle name="Hyperlink" xfId="1476" builtinId="8" hidden="1"/>
    <cellStyle name="Hyperlink" xfId="1478" builtinId="8" hidden="1"/>
    <cellStyle name="Hyperlink" xfId="1480" builtinId="8" hidden="1"/>
    <cellStyle name="Hyperlink" xfId="1482" builtinId="8" hidden="1"/>
    <cellStyle name="Hyperlink" xfId="1484" builtinId="8" hidden="1"/>
    <cellStyle name="Hyperlink" xfId="1486" builtinId="8" hidden="1"/>
    <cellStyle name="Hyperlink" xfId="1488" builtinId="8" hidden="1"/>
    <cellStyle name="Hyperlink" xfId="1490" builtinId="8" hidden="1"/>
    <cellStyle name="Hyperlink" xfId="1492" builtinId="8" hidden="1"/>
    <cellStyle name="Hyperlink" xfId="1494" builtinId="8" hidden="1"/>
    <cellStyle name="Hyperlink" xfId="1496" builtinId="8" hidden="1"/>
    <cellStyle name="Hyperlink" xfId="1498" builtinId="8" hidden="1"/>
    <cellStyle name="Hyperlink" xfId="1500" builtinId="8" hidden="1"/>
    <cellStyle name="Hyperlink" xfId="1502" builtinId="8" hidden="1"/>
    <cellStyle name="Hyperlink" xfId="1504" builtinId="8" hidden="1"/>
    <cellStyle name="Hyperlink" xfId="1506" builtinId="8" hidden="1"/>
    <cellStyle name="Hyperlink" xfId="1508" builtinId="8" hidden="1"/>
    <cellStyle name="Hyperlink" xfId="1510" builtinId="8" hidden="1"/>
    <cellStyle name="Hyperlink" xfId="1512" builtinId="8" hidden="1"/>
    <cellStyle name="Hyperlink" xfId="1514" builtinId="8" hidden="1"/>
    <cellStyle name="Hyperlink" xfId="1516" builtinId="8" hidden="1"/>
    <cellStyle name="Hyperlink" xfId="1518" builtinId="8" hidden="1"/>
    <cellStyle name="Hyperlink" xfId="1520" builtinId="8" hidden="1"/>
    <cellStyle name="Hyperlink" xfId="1522" builtinId="8" hidden="1"/>
    <cellStyle name="Hyperlink" xfId="1524" builtinId="8" hidden="1"/>
    <cellStyle name="Hyperlink" xfId="1526" builtinId="8" hidden="1"/>
    <cellStyle name="Hyperlink" xfId="1528" builtinId="8" hidden="1"/>
    <cellStyle name="Hyperlink" xfId="1530" builtinId="8" hidden="1"/>
    <cellStyle name="Hyperlink" xfId="1532" builtinId="8" hidden="1"/>
    <cellStyle name="Hyperlink" xfId="1534" builtinId="8" hidden="1"/>
    <cellStyle name="Hyperlink" xfId="1536" builtinId="8" hidden="1"/>
    <cellStyle name="Hyperlink" xfId="1538" builtinId="8" hidden="1"/>
    <cellStyle name="Hyperlink" xfId="1540" builtinId="8" hidden="1"/>
    <cellStyle name="Hyperlink" xfId="1542" builtinId="8" hidden="1"/>
    <cellStyle name="Hyperlink" xfId="1544" builtinId="8" hidden="1"/>
    <cellStyle name="Hyperlink" xfId="1546" builtinId="8" hidden="1"/>
    <cellStyle name="Hyperlink" xfId="1548" builtinId="8" hidden="1"/>
    <cellStyle name="Hyperlink" xfId="1550" builtinId="8" hidden="1"/>
    <cellStyle name="Hyperlink" xfId="1552" builtinId="8" hidden="1"/>
    <cellStyle name="Hyperlink" xfId="1554" builtinId="8" hidden="1"/>
    <cellStyle name="Hyperlink" xfId="1556" builtinId="8" hidden="1"/>
    <cellStyle name="Hyperlink" xfId="1558" builtinId="8" hidden="1"/>
    <cellStyle name="Hyperlink" xfId="1560" builtinId="8" hidden="1"/>
    <cellStyle name="Hyperlink" xfId="1562" builtinId="8" hidden="1"/>
    <cellStyle name="Hyperlink" xfId="1564" builtinId="8" hidden="1"/>
    <cellStyle name="Hyperlink" xfId="1566" builtinId="8" hidden="1"/>
    <cellStyle name="Hyperlink" xfId="1568" builtinId="8" hidden="1"/>
    <cellStyle name="Hyperlink" xfId="1570" builtinId="8" hidden="1"/>
    <cellStyle name="Hyperlink" xfId="1572" builtinId="8" hidden="1"/>
    <cellStyle name="Hyperlink" xfId="1574" builtinId="8" hidden="1"/>
    <cellStyle name="Hyperlink" xfId="1576" builtinId="8" hidden="1"/>
    <cellStyle name="Hyperlink" xfId="1578" builtinId="8" hidden="1"/>
    <cellStyle name="Hyperlink" xfId="1580" builtinId="8" hidden="1"/>
    <cellStyle name="Hyperlink" xfId="1582" builtinId="8" hidden="1"/>
    <cellStyle name="Hyperlink" xfId="1584" builtinId="8" hidden="1"/>
    <cellStyle name="Hyperlink" xfId="1586" builtinId="8" hidden="1"/>
    <cellStyle name="Hyperlink" xfId="1588" builtinId="8" hidden="1"/>
    <cellStyle name="Hyperlink" xfId="1590" builtinId="8" hidden="1"/>
    <cellStyle name="Hyperlink" xfId="1592" builtinId="8" hidden="1"/>
    <cellStyle name="Hyperlink" xfId="1594" builtinId="8" hidden="1"/>
    <cellStyle name="Hyperlink" xfId="1596" builtinId="8" hidden="1"/>
    <cellStyle name="Hyperlink" xfId="1598" builtinId="8" hidden="1"/>
    <cellStyle name="Hyperlink" xfId="1600" builtinId="8" hidden="1"/>
    <cellStyle name="Hyperlink" xfId="1602" builtinId="8" hidden="1"/>
    <cellStyle name="Hyperlink" xfId="1604" builtinId="8" hidden="1"/>
    <cellStyle name="Hyperlink" xfId="1606" builtinId="8" hidden="1"/>
    <cellStyle name="Hyperlink" xfId="1608" builtinId="8" hidden="1"/>
    <cellStyle name="Hyperlink" xfId="1610" builtinId="8" hidden="1"/>
    <cellStyle name="Hyperlink" xfId="1612" builtinId="8" hidden="1"/>
    <cellStyle name="Hyperlink" xfId="1614" builtinId="8" hidden="1"/>
    <cellStyle name="Hyperlink" xfId="1616" builtinId="8" hidden="1"/>
    <cellStyle name="Hyperlink" xfId="1618" builtinId="8" hidden="1"/>
    <cellStyle name="Hyperlink" xfId="1620" builtinId="8" hidden="1"/>
    <cellStyle name="Hyperlink" xfId="1622" builtinId="8" hidden="1"/>
    <cellStyle name="Hyperlink" xfId="1624" builtinId="8" hidden="1"/>
    <cellStyle name="Hyperlink" xfId="1626" builtinId="8" hidden="1"/>
    <cellStyle name="Hyperlink" xfId="1628" builtinId="8" hidden="1"/>
    <cellStyle name="Hyperlink" xfId="1630" builtinId="8" hidden="1"/>
    <cellStyle name="Hyperlink" xfId="1632" builtinId="8" hidden="1"/>
    <cellStyle name="Hyperlink" xfId="1634" builtinId="8" hidden="1"/>
    <cellStyle name="Hyperlink" xfId="1636" builtinId="8" hidden="1"/>
    <cellStyle name="Hyperlink" xfId="1638" builtinId="8" hidden="1"/>
    <cellStyle name="Hyperlink" xfId="1640" builtinId="8" hidden="1"/>
    <cellStyle name="Hyperlink" xfId="1642" builtinId="8" hidden="1"/>
    <cellStyle name="Hyperlink" xfId="1644" builtinId="8" hidden="1"/>
    <cellStyle name="Hyperlink" xfId="1646" builtinId="8" hidden="1"/>
    <cellStyle name="Hyperlink" xfId="1648" builtinId="8" hidden="1"/>
    <cellStyle name="Hyperlink" xfId="1650" builtinId="8" hidden="1"/>
    <cellStyle name="Hyperlink" xfId="1652" builtinId="8" hidden="1"/>
    <cellStyle name="Hyperlink" xfId="1654" builtinId="8" hidden="1"/>
    <cellStyle name="Hyperlink" xfId="1656" builtinId="8" hidden="1"/>
    <cellStyle name="Hyperlink" xfId="1658" builtinId="8" hidden="1"/>
    <cellStyle name="Hyperlink" xfId="1660" builtinId="8" hidden="1"/>
    <cellStyle name="Hyperlink" xfId="1662" builtinId="8" hidden="1"/>
    <cellStyle name="Hyperlink" xfId="1664" builtinId="8" hidden="1"/>
    <cellStyle name="Hyperlink" xfId="1666" builtinId="8" hidden="1"/>
    <cellStyle name="Hyperlink" xfId="1668" builtinId="8" hidden="1"/>
    <cellStyle name="Hyperlink" xfId="1670" builtinId="8" hidden="1"/>
    <cellStyle name="Hyperlink" xfId="1672" builtinId="8" hidden="1"/>
    <cellStyle name="Hyperlink" xfId="1674" builtinId="8" hidden="1"/>
    <cellStyle name="Hyperlink" xfId="1676" builtinId="8" hidden="1"/>
    <cellStyle name="Hyperlink" xfId="1678" builtinId="8" hidden="1"/>
    <cellStyle name="Hyperlink" xfId="1680" builtinId="8" hidden="1"/>
    <cellStyle name="Hyperlink" xfId="1682" builtinId="8" hidden="1"/>
    <cellStyle name="Hyperlink" xfId="1684" builtinId="8" hidden="1"/>
    <cellStyle name="Hyperlink" xfId="1686" builtinId="8" hidden="1"/>
    <cellStyle name="Hyperlink" xfId="1688" builtinId="8" hidden="1"/>
    <cellStyle name="Hyperlink" xfId="1690" builtinId="8" hidden="1"/>
    <cellStyle name="Hyperlink" xfId="1692" builtinId="8" hidden="1"/>
    <cellStyle name="Hyperlink" xfId="1694" builtinId="8" hidden="1"/>
    <cellStyle name="Hyperlink" xfId="1696" builtinId="8" hidden="1"/>
    <cellStyle name="Hyperlink" xfId="1698" builtinId="8" hidden="1"/>
    <cellStyle name="Hyperlink" xfId="1700" builtinId="8" hidden="1"/>
    <cellStyle name="Hyperlink" xfId="1702" builtinId="8" hidden="1"/>
    <cellStyle name="Hyperlink" xfId="1704" builtinId="8" hidden="1"/>
    <cellStyle name="Hyperlink" xfId="1706" builtinId="8" hidden="1"/>
    <cellStyle name="Hyperlink" xfId="1708" builtinId="8" hidden="1"/>
    <cellStyle name="Hyperlink" xfId="1710" builtinId="8" hidden="1"/>
    <cellStyle name="Hyperlink" xfId="1712" builtinId="8" hidden="1"/>
    <cellStyle name="Hyperlink" xfId="1714" builtinId="8" hidden="1"/>
    <cellStyle name="Hyperlink" xfId="1716" builtinId="8" hidden="1"/>
    <cellStyle name="Hyperlink" xfId="1718" builtinId="8" hidden="1"/>
    <cellStyle name="Hyperlink" xfId="1720" builtinId="8" hidden="1"/>
    <cellStyle name="Hyperlink" xfId="1722" builtinId="8" hidden="1"/>
    <cellStyle name="Hyperlink" xfId="1724" builtinId="8" hidden="1"/>
    <cellStyle name="Hyperlink" xfId="1726" builtinId="8" hidden="1"/>
    <cellStyle name="Hyperlink" xfId="1728" builtinId="8" hidden="1"/>
    <cellStyle name="Hyperlink" xfId="1730" builtinId="8" hidden="1"/>
    <cellStyle name="Hyperlink" xfId="1732" builtinId="8" hidden="1"/>
    <cellStyle name="Hyperlink" xfId="1734" builtinId="8" hidden="1"/>
    <cellStyle name="Hyperlink" xfId="1736" builtinId="8" hidden="1"/>
    <cellStyle name="Hyperlink" xfId="1738" builtinId="8" hidden="1"/>
    <cellStyle name="Hyperlink" xfId="1740" builtinId="8" hidden="1"/>
    <cellStyle name="Hyperlink" xfId="1742" builtinId="8" hidden="1"/>
    <cellStyle name="Hyperlink" xfId="1744" builtinId="8" hidden="1"/>
    <cellStyle name="Hyperlink" xfId="1746" builtinId="8" hidden="1"/>
    <cellStyle name="Hyperlink" xfId="1748" builtinId="8" hidden="1"/>
    <cellStyle name="Hyperlink" xfId="1750" builtinId="8" hidden="1"/>
    <cellStyle name="Hyperlink" xfId="1752" builtinId="8" hidden="1"/>
    <cellStyle name="Hyperlink" xfId="1754" builtinId="8" hidden="1"/>
    <cellStyle name="Hyperlink" xfId="1756" builtinId="8" hidden="1"/>
    <cellStyle name="Hyperlink" xfId="1758" builtinId="8" hidden="1"/>
    <cellStyle name="Hyperlink" xfId="1760" builtinId="8" hidden="1"/>
    <cellStyle name="Hyperlink" xfId="1762" builtinId="8" hidden="1"/>
    <cellStyle name="Hyperlink" xfId="1764" builtinId="8" hidden="1"/>
    <cellStyle name="Hyperlink" xfId="1766" builtinId="8" hidden="1"/>
    <cellStyle name="Hyperlink" xfId="1768" builtinId="8" hidden="1"/>
    <cellStyle name="Hyperlink" xfId="1770" builtinId="8" hidden="1"/>
    <cellStyle name="Hyperlink" xfId="1772" builtinId="8" hidden="1"/>
    <cellStyle name="Hyperlink" xfId="1774" builtinId="8" hidden="1"/>
    <cellStyle name="Hyperlink" xfId="1776" builtinId="8" hidden="1"/>
    <cellStyle name="Hyperlink" xfId="1778" builtinId="8" hidden="1"/>
    <cellStyle name="Hyperlink" xfId="1780" builtinId="8" hidden="1"/>
    <cellStyle name="Hyperlink" xfId="1782" builtinId="8" hidden="1"/>
    <cellStyle name="Hyperlink" xfId="1784" builtinId="8" hidden="1"/>
    <cellStyle name="Hyperlink" xfId="1786" builtinId="8" hidden="1"/>
    <cellStyle name="Hyperlink" xfId="1788" builtinId="8" hidden="1"/>
    <cellStyle name="Hyperlink" xfId="1790" builtinId="8" hidden="1"/>
    <cellStyle name="Hyperlink" xfId="1792" builtinId="8" hidden="1"/>
    <cellStyle name="Hyperlink" xfId="1794" builtinId="8" hidden="1"/>
    <cellStyle name="Hyperlink" xfId="1796" builtinId="8" hidden="1"/>
    <cellStyle name="Hyperlink" xfId="1798" builtinId="8" hidden="1"/>
    <cellStyle name="Hyperlink" xfId="1800" builtinId="8" hidden="1"/>
    <cellStyle name="Hyperlink" xfId="1802" builtinId="8" hidden="1"/>
    <cellStyle name="Hyperlink" xfId="1804" builtinId="8" hidden="1"/>
    <cellStyle name="Hyperlink" xfId="1806" builtinId="8" hidden="1"/>
    <cellStyle name="Hyperlink" xfId="1808" builtinId="8" hidden="1"/>
    <cellStyle name="Hyperlink" xfId="1810" builtinId="8" hidden="1"/>
    <cellStyle name="Hyperlink" xfId="1812" builtinId="8" hidden="1"/>
    <cellStyle name="Hyperlink" xfId="1814" builtinId="8" hidden="1"/>
    <cellStyle name="Hyperlink" xfId="1816" builtinId="8" hidden="1"/>
    <cellStyle name="Hyperlink" xfId="1818" builtinId="8" hidden="1"/>
    <cellStyle name="Hyperlink" xfId="1820" builtinId="8" hidden="1"/>
    <cellStyle name="Hyperlink" xfId="1822" builtinId="8" hidden="1"/>
    <cellStyle name="Hyperlink" xfId="1824" builtinId="8" hidden="1"/>
    <cellStyle name="Hyperlink" xfId="1826" builtinId="8" hidden="1"/>
    <cellStyle name="Hyperlink" xfId="1828" builtinId="8" hidden="1"/>
    <cellStyle name="Hyperlink" xfId="1830" builtinId="8" hidden="1"/>
    <cellStyle name="Hyperlink" xfId="1832" builtinId="8" hidden="1"/>
    <cellStyle name="Hyperlink" xfId="1834" builtinId="8" hidden="1"/>
    <cellStyle name="Hyperlink" xfId="1836" builtinId="8" hidden="1"/>
    <cellStyle name="Hyperlink" xfId="1838" builtinId="8" hidden="1"/>
    <cellStyle name="Hyperlink" xfId="1840" builtinId="8" hidden="1"/>
    <cellStyle name="Hyperlink" xfId="1842" builtinId="8" hidden="1"/>
    <cellStyle name="Hyperlink" xfId="1844" builtinId="8" hidden="1"/>
    <cellStyle name="Hyperlink" xfId="1846" builtinId="8" hidden="1"/>
    <cellStyle name="Hyperlink" xfId="1848" builtinId="8" hidden="1"/>
    <cellStyle name="Hyperlink" xfId="1850" builtinId="8" hidden="1"/>
    <cellStyle name="Hyperlink" xfId="1852" builtinId="8" hidden="1"/>
    <cellStyle name="Hyperlink" xfId="1854" builtinId="8" hidden="1"/>
    <cellStyle name="Hyperlink" xfId="1856" builtinId="8" hidden="1"/>
    <cellStyle name="Hyperlink" xfId="1858" builtinId="8" hidden="1"/>
    <cellStyle name="Hyperlink" xfId="1860" builtinId="8" hidden="1"/>
    <cellStyle name="Hyperlink" xfId="1862" builtinId="8" hidden="1"/>
    <cellStyle name="Hyperlink" xfId="1864" builtinId="8" hidden="1"/>
    <cellStyle name="Hyperlink" xfId="1866" builtinId="8" hidden="1"/>
    <cellStyle name="Hyperlink" xfId="1868" builtinId="8" hidden="1"/>
    <cellStyle name="Hyperlink" xfId="1870" builtinId="8" hidden="1"/>
    <cellStyle name="Hyperlink" xfId="1872" builtinId="8" hidden="1"/>
    <cellStyle name="Hyperlink" xfId="1874" builtinId="8" hidden="1"/>
    <cellStyle name="Hyperlink" xfId="1876" builtinId="8" hidden="1"/>
    <cellStyle name="Hyperlink" xfId="1878" builtinId="8" hidden="1"/>
    <cellStyle name="Hyperlink" xfId="1880" builtinId="8" hidden="1"/>
    <cellStyle name="Hyperlink" xfId="1882" builtinId="8" hidden="1"/>
    <cellStyle name="Hyperlink" xfId="1884" builtinId="8" hidden="1"/>
    <cellStyle name="Hyperlink" xfId="1886" builtinId="8" hidden="1"/>
    <cellStyle name="Hyperlink" xfId="1888" builtinId="8" hidden="1"/>
    <cellStyle name="Hyperlink" xfId="1890" builtinId="8" hidden="1"/>
    <cellStyle name="Hyperlink" xfId="1892" builtinId="8" hidden="1"/>
    <cellStyle name="Hyperlink" xfId="1894" builtinId="8" hidden="1"/>
    <cellStyle name="Hyperlink" xfId="1896" builtinId="8" hidden="1"/>
    <cellStyle name="Hyperlink" xfId="1898" builtinId="8" hidden="1"/>
    <cellStyle name="Hyperlink" xfId="1900" builtinId="8" hidden="1"/>
    <cellStyle name="Hyperlink" xfId="1902" builtinId="8" hidden="1"/>
    <cellStyle name="Hyperlink" xfId="1904" builtinId="8" hidden="1"/>
    <cellStyle name="Hyperlink" xfId="1906" builtinId="8" hidden="1"/>
    <cellStyle name="Hyperlink" xfId="1908" builtinId="8" hidden="1"/>
    <cellStyle name="Hyperlink" xfId="1910" builtinId="8" hidden="1"/>
    <cellStyle name="Hyperlink" xfId="1912" builtinId="8" hidden="1"/>
    <cellStyle name="Hyperlink" xfId="1914" builtinId="8" hidden="1"/>
    <cellStyle name="Hyperlink" xfId="1916" builtinId="8" hidden="1"/>
    <cellStyle name="Hyperlink" xfId="1918" builtinId="8" hidden="1"/>
    <cellStyle name="Hyperlink" xfId="1920" builtinId="8" hidden="1"/>
    <cellStyle name="Hyperlink" xfId="1922" builtinId="8" hidden="1"/>
    <cellStyle name="Hyperlink" xfId="1924" builtinId="8" hidden="1"/>
    <cellStyle name="Hyperlink" xfId="1926" builtinId="8" hidden="1"/>
    <cellStyle name="Hyperlink" xfId="1928" builtinId="8" hidden="1"/>
    <cellStyle name="Hyperlink" xfId="1930" builtinId="8" hidden="1"/>
    <cellStyle name="Hyperlink" xfId="1932" builtinId="8" hidden="1"/>
    <cellStyle name="Hyperlink" xfId="1934" builtinId="8" hidden="1"/>
    <cellStyle name="Hyperlink" xfId="1936" builtinId="8" hidden="1"/>
    <cellStyle name="Hyperlink" xfId="1938" builtinId="8" hidden="1"/>
    <cellStyle name="Hyperlink" xfId="1940" builtinId="8" hidden="1"/>
    <cellStyle name="Hyperlink" xfId="1942" builtinId="8" hidden="1"/>
    <cellStyle name="Hyperlink" xfId="1944" builtinId="8" hidden="1"/>
    <cellStyle name="Hyperlink" xfId="1946" builtinId="8" hidden="1"/>
    <cellStyle name="Hyperlink" xfId="1948" builtinId="8" hidden="1"/>
    <cellStyle name="Hyperlink" xfId="1950" builtinId="8" hidden="1"/>
    <cellStyle name="Hyperlink" xfId="1952" builtinId="8" hidden="1"/>
    <cellStyle name="Hyperlink" xfId="1954" builtinId="8" hidden="1"/>
    <cellStyle name="Hyperlink" xfId="1956" builtinId="8" hidden="1"/>
    <cellStyle name="Hyperlink" xfId="1958" builtinId="8" hidden="1"/>
    <cellStyle name="Hyperlink" xfId="1960" builtinId="8" hidden="1"/>
    <cellStyle name="Hyperlink" xfId="1962" builtinId="8" hidden="1"/>
    <cellStyle name="Hyperlink" xfId="1964" builtinId="8" hidden="1"/>
    <cellStyle name="Hyperlink" xfId="1966" builtinId="8" hidden="1"/>
    <cellStyle name="Hyperlink" xfId="1968" builtinId="8" hidden="1"/>
    <cellStyle name="Hyperlink" xfId="1970" builtinId="8" hidden="1"/>
    <cellStyle name="Hyperlink" xfId="1972" builtinId="8" hidden="1"/>
    <cellStyle name="Hyperlink" xfId="1974" builtinId="8" hidden="1"/>
    <cellStyle name="Hyperlink" xfId="1976" builtinId="8" hidden="1"/>
    <cellStyle name="Hyperlink" xfId="1978" builtinId="8" hidden="1"/>
    <cellStyle name="Hyperlink" xfId="1980" builtinId="8" hidden="1"/>
    <cellStyle name="Hyperlink" xfId="1982" builtinId="8" hidden="1"/>
    <cellStyle name="Hyperlink" xfId="1984" builtinId="8" hidden="1"/>
    <cellStyle name="Hyperlink" xfId="1986" builtinId="8" hidden="1"/>
    <cellStyle name="Hyperlink" xfId="1988" builtinId="8" hidden="1"/>
    <cellStyle name="Hyperlink" xfId="1990" builtinId="8" hidden="1"/>
    <cellStyle name="Hyperlink" xfId="1992" builtinId="8" hidden="1"/>
    <cellStyle name="Hyperlink" xfId="1994" builtinId="8" hidden="1"/>
    <cellStyle name="Hyperlink" xfId="1996" builtinId="8" hidden="1"/>
    <cellStyle name="Hyperlink" xfId="1998" builtinId="8" hidden="1"/>
    <cellStyle name="Hyperlink" xfId="2000" builtinId="8" hidden="1"/>
    <cellStyle name="Hyperlink" xfId="2002" builtinId="8" hidden="1"/>
    <cellStyle name="Hyperlink" xfId="2004" builtinId="8" hidden="1"/>
    <cellStyle name="Hyperlink" xfId="2006" builtinId="8" hidden="1"/>
    <cellStyle name="Hyperlink" xfId="2008" builtinId="8" hidden="1"/>
    <cellStyle name="Hyperlink" xfId="2010" builtinId="8" hidden="1"/>
    <cellStyle name="Hyperlink" xfId="2012" builtinId="8" hidden="1"/>
    <cellStyle name="Hyperlink" xfId="2014" builtinId="8" hidden="1"/>
    <cellStyle name="Hyperlink" xfId="2016" builtinId="8" hidden="1"/>
    <cellStyle name="Hyperlink" xfId="2018" builtinId="8" hidden="1"/>
    <cellStyle name="Hyperlink" xfId="2020" builtinId="8" hidden="1"/>
    <cellStyle name="Hyperlink" xfId="2022" builtinId="8" hidden="1"/>
    <cellStyle name="Hyperlink" xfId="2024" builtinId="8" hidden="1"/>
    <cellStyle name="Hyperlink" xfId="2026" builtinId="8" hidden="1"/>
    <cellStyle name="Hyperlink" xfId="2028" builtinId="8" hidden="1"/>
    <cellStyle name="Hyperlink" xfId="2030" builtinId="8" hidden="1"/>
    <cellStyle name="Hyperlink" xfId="2032" builtinId="8" hidden="1"/>
    <cellStyle name="Hyperlink" xfId="2034" builtinId="8" hidden="1"/>
    <cellStyle name="Hyperlink" xfId="2036" builtinId="8" hidden="1"/>
    <cellStyle name="Hyperlink" xfId="2038" builtinId="8" hidden="1"/>
    <cellStyle name="Hyperlink" xfId="2040" builtinId="8" hidden="1"/>
    <cellStyle name="Hyperlink" xfId="2042" builtinId="8" hidden="1"/>
    <cellStyle name="Hyperlink" xfId="2044" builtinId="8" hidden="1"/>
    <cellStyle name="Hyperlink" xfId="2046" builtinId="8" hidden="1"/>
    <cellStyle name="Hyperlink" xfId="2048" builtinId="8" hidden="1"/>
    <cellStyle name="Hyperlink" xfId="2050" builtinId="8" hidden="1"/>
    <cellStyle name="Hyperlink" xfId="2052" builtinId="8" hidden="1"/>
    <cellStyle name="Hyperlink" xfId="2054" builtinId="8" hidden="1"/>
    <cellStyle name="Hyperlink" xfId="2056" builtinId="8" hidden="1"/>
    <cellStyle name="Hyperlink" xfId="2058" builtinId="8" hidden="1"/>
    <cellStyle name="Hyperlink" xfId="2060" builtinId="8" hidden="1"/>
    <cellStyle name="Hyperlink" xfId="2062" builtinId="8" hidden="1"/>
    <cellStyle name="Hyperlink" xfId="2064" builtinId="8" hidden="1"/>
    <cellStyle name="Hyperlink" xfId="2066" builtinId="8" hidden="1"/>
    <cellStyle name="Hyperlink" xfId="2068" builtinId="8" hidden="1"/>
    <cellStyle name="Hyperlink" xfId="2070" builtinId="8" hidden="1"/>
    <cellStyle name="Hyperlink" xfId="2072" builtinId="8" hidden="1"/>
    <cellStyle name="Hyperlink" xfId="2074" builtinId="8" hidden="1"/>
    <cellStyle name="Hyperlink" xfId="2076" builtinId="8" hidden="1"/>
    <cellStyle name="Hyperlink" xfId="2078" builtinId="8" hidden="1"/>
    <cellStyle name="Hyperlink" xfId="2080" builtinId="8" hidden="1"/>
    <cellStyle name="Hyperlink" xfId="2082" builtinId="8" hidden="1"/>
    <cellStyle name="Hyperlink" xfId="2084" builtinId="8" hidden="1"/>
    <cellStyle name="Hyperlink" xfId="2086" builtinId="8" hidden="1"/>
    <cellStyle name="Hyperlink" xfId="2088" builtinId="8" hidden="1"/>
    <cellStyle name="Hyperlink" xfId="2090" builtinId="8" hidden="1"/>
    <cellStyle name="Hyperlink" xfId="2092" builtinId="8" hidden="1"/>
    <cellStyle name="Hyperlink" xfId="2094" builtinId="8" hidden="1"/>
    <cellStyle name="Hyperlink" xfId="2096" builtinId="8" hidden="1"/>
    <cellStyle name="Hyperlink" xfId="2098" builtinId="8" hidden="1"/>
    <cellStyle name="Hyperlink" xfId="2100" builtinId="8" hidden="1"/>
    <cellStyle name="Hyperlink" xfId="2102" builtinId="8" hidden="1"/>
    <cellStyle name="Hyperlink" xfId="2104" builtinId="8" hidden="1"/>
    <cellStyle name="Hyperlink" xfId="2106" builtinId="8" hidden="1"/>
    <cellStyle name="Hyperlink" xfId="2108" builtinId="8" hidden="1"/>
    <cellStyle name="Hyperlink" xfId="2110" builtinId="8" hidden="1"/>
    <cellStyle name="Hyperlink" xfId="2112" builtinId="8" hidden="1"/>
    <cellStyle name="Hyperlink" xfId="2114" builtinId="8" hidden="1"/>
    <cellStyle name="Hyperlink" xfId="2116" builtinId="8" hidden="1"/>
    <cellStyle name="Hyperlink" xfId="2118" builtinId="8" hidden="1"/>
    <cellStyle name="Hyperlink" xfId="2120" builtinId="8" hidden="1"/>
    <cellStyle name="Hyperlink" xfId="2122" builtinId="8" hidden="1"/>
    <cellStyle name="Hyperlink" xfId="2124" builtinId="8" hidden="1"/>
    <cellStyle name="Hyperlink" xfId="2126" builtinId="8" hidden="1"/>
    <cellStyle name="Hyperlink" xfId="2128" builtinId="8" hidden="1"/>
    <cellStyle name="Hyperlink" xfId="2130" builtinId="8" hidden="1"/>
    <cellStyle name="Hyperlink" xfId="2132" builtinId="8" hidden="1"/>
    <cellStyle name="Hyperlink" xfId="2134" builtinId="8" hidden="1"/>
    <cellStyle name="Hyperlink" xfId="2136" builtinId="8" hidden="1"/>
    <cellStyle name="Hyperlink" xfId="2138" builtinId="8" hidden="1"/>
    <cellStyle name="Hyperlink" xfId="2140" builtinId="8" hidden="1"/>
    <cellStyle name="Hyperlink" xfId="2142" builtinId="8" hidden="1"/>
    <cellStyle name="Hyperlink" xfId="2144" builtinId="8" hidden="1"/>
    <cellStyle name="Hyperlink" xfId="2146" builtinId="8" hidden="1"/>
    <cellStyle name="Hyperlink" xfId="2148" builtinId="8" hidden="1"/>
    <cellStyle name="Hyperlink" xfId="2150" builtinId="8" hidden="1"/>
    <cellStyle name="Hyperlink" xfId="2152" builtinId="8" hidden="1"/>
    <cellStyle name="Hyperlink" xfId="2154" builtinId="8" hidden="1"/>
    <cellStyle name="Hyperlink" xfId="2156" builtinId="8" hidden="1"/>
    <cellStyle name="Hyperlink" xfId="2158" builtinId="8" hidden="1"/>
    <cellStyle name="Hyperlink" xfId="2160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89"/>
  <sheetViews>
    <sheetView tabSelected="1" workbookViewId="0"/>
  </sheetViews>
  <sheetFormatPr defaultColWidth="11" defaultRowHeight="15.75"/>
  <cols>
    <col min="1" max="1" width="10.875" style="94"/>
  </cols>
  <sheetData>
    <row r="1" spans="1:17" s="12" customFormat="1" ht="38.25">
      <c r="A1" s="95" t="s">
        <v>10</v>
      </c>
      <c r="B1" s="17" t="s">
        <v>59</v>
      </c>
      <c r="C1" s="17" t="s">
        <v>0</v>
      </c>
      <c r="D1" s="17" t="s">
        <v>1</v>
      </c>
      <c r="E1" s="17" t="s">
        <v>2</v>
      </c>
      <c r="F1" s="17" t="s">
        <v>3</v>
      </c>
      <c r="G1" s="17" t="s">
        <v>4</v>
      </c>
      <c r="H1" s="17" t="s">
        <v>492</v>
      </c>
      <c r="I1" s="17" t="s">
        <v>5</v>
      </c>
      <c r="J1" s="17" t="s">
        <v>6</v>
      </c>
      <c r="K1" s="17" t="s">
        <v>7</v>
      </c>
      <c r="L1" s="17" t="s">
        <v>8</v>
      </c>
      <c r="M1" s="17" t="s">
        <v>9</v>
      </c>
      <c r="N1" s="17" t="s">
        <v>58</v>
      </c>
      <c r="O1" s="50" t="s">
        <v>728</v>
      </c>
      <c r="P1" s="50" t="s">
        <v>727</v>
      </c>
      <c r="Q1" s="50" t="s">
        <v>729</v>
      </c>
    </row>
    <row r="2" spans="1:17" s="18" customFormat="1" ht="12" customHeight="1">
      <c r="A2" s="96" t="s">
        <v>743</v>
      </c>
      <c r="B2" s="35" t="s">
        <v>401</v>
      </c>
      <c r="C2" s="35" t="s">
        <v>429</v>
      </c>
      <c r="D2" s="35" t="s">
        <v>437</v>
      </c>
      <c r="E2" s="30">
        <v>12</v>
      </c>
      <c r="F2" s="35" t="s">
        <v>53</v>
      </c>
      <c r="G2" s="35" t="s">
        <v>14</v>
      </c>
      <c r="H2" s="23" t="s">
        <v>435</v>
      </c>
      <c r="I2" s="44">
        <v>300</v>
      </c>
      <c r="J2" s="44">
        <v>7960</v>
      </c>
      <c r="K2" s="22" t="s">
        <v>402</v>
      </c>
      <c r="L2" s="44">
        <v>1</v>
      </c>
      <c r="M2" s="44" t="s">
        <v>21</v>
      </c>
      <c r="N2" s="35">
        <v>0.43</v>
      </c>
      <c r="O2" s="57" t="s">
        <v>731</v>
      </c>
      <c r="P2" s="57" t="s">
        <v>731</v>
      </c>
      <c r="Q2" s="57" t="s">
        <v>731</v>
      </c>
    </row>
    <row r="3" spans="1:17" s="18" customFormat="1" ht="12.75">
      <c r="A3" s="96"/>
      <c r="B3" s="35"/>
      <c r="C3" s="35" t="s">
        <v>403</v>
      </c>
      <c r="D3" s="35"/>
      <c r="E3" s="30"/>
      <c r="F3" s="35" t="s">
        <v>53</v>
      </c>
      <c r="G3" s="35" t="s">
        <v>20</v>
      </c>
      <c r="H3" s="23">
        <v>670</v>
      </c>
      <c r="I3" s="44">
        <v>296</v>
      </c>
      <c r="J3" s="44" t="s">
        <v>18</v>
      </c>
      <c r="K3" s="22" t="s">
        <v>402</v>
      </c>
      <c r="L3" s="44">
        <v>1.03</v>
      </c>
      <c r="M3" s="44" t="s">
        <v>404</v>
      </c>
      <c r="N3" s="35"/>
      <c r="O3" s="57" t="s">
        <v>731</v>
      </c>
      <c r="P3" s="57" t="s">
        <v>731</v>
      </c>
      <c r="Q3" s="57" t="s">
        <v>731</v>
      </c>
    </row>
    <row r="4" spans="1:17" s="18" customFormat="1" ht="12.75">
      <c r="A4" s="96"/>
      <c r="B4" s="35"/>
      <c r="C4" s="59">
        <f>1458/39800</f>
        <v>3.6633165829145727E-2</v>
      </c>
      <c r="D4" s="35"/>
      <c r="E4" s="30"/>
      <c r="F4" s="35" t="s">
        <v>53</v>
      </c>
      <c r="G4" s="35" t="s">
        <v>22</v>
      </c>
      <c r="H4" s="23">
        <v>803</v>
      </c>
      <c r="I4" s="44">
        <v>267</v>
      </c>
      <c r="J4" s="44">
        <v>7953</v>
      </c>
      <c r="K4" s="22" t="s">
        <v>402</v>
      </c>
      <c r="L4" s="44">
        <v>0.92</v>
      </c>
      <c r="M4" s="44" t="s">
        <v>405</v>
      </c>
      <c r="N4" s="35"/>
      <c r="O4" s="57" t="s">
        <v>731</v>
      </c>
      <c r="P4" s="57" t="s">
        <v>731</v>
      </c>
      <c r="Q4" s="57" t="s">
        <v>731</v>
      </c>
    </row>
    <row r="5" spans="1:17" s="18" customFormat="1" ht="12.75">
      <c r="A5" s="96"/>
      <c r="B5" s="35"/>
      <c r="C5" s="35"/>
      <c r="D5" s="35"/>
      <c r="E5" s="30"/>
      <c r="F5" s="35" t="s">
        <v>53</v>
      </c>
      <c r="G5" s="35" t="s">
        <v>25</v>
      </c>
      <c r="H5" s="23">
        <v>995</v>
      </c>
      <c r="I5" s="44">
        <v>299</v>
      </c>
      <c r="J5" s="44" t="s">
        <v>18</v>
      </c>
      <c r="K5" s="22" t="s">
        <v>402</v>
      </c>
      <c r="L5" s="44">
        <v>1.01</v>
      </c>
      <c r="M5" s="44" t="s">
        <v>406</v>
      </c>
      <c r="N5" s="35"/>
      <c r="O5" s="57" t="s">
        <v>731</v>
      </c>
      <c r="P5" s="57" t="s">
        <v>731</v>
      </c>
      <c r="Q5" s="57" t="s">
        <v>731</v>
      </c>
    </row>
    <row r="6" spans="1:17" s="18" customFormat="1" ht="12.75">
      <c r="A6" s="96"/>
      <c r="B6" s="35"/>
      <c r="C6" s="35"/>
      <c r="D6" s="35"/>
      <c r="E6" s="30"/>
      <c r="F6" s="35" t="s">
        <v>53</v>
      </c>
      <c r="G6" s="35" t="s">
        <v>67</v>
      </c>
      <c r="H6" s="23">
        <v>1377</v>
      </c>
      <c r="I6" s="44">
        <v>296</v>
      </c>
      <c r="J6" s="44">
        <v>7967</v>
      </c>
      <c r="K6" s="22" t="s">
        <v>402</v>
      </c>
      <c r="L6" s="44">
        <v>0.94</v>
      </c>
      <c r="M6" s="44" t="s">
        <v>407</v>
      </c>
      <c r="N6" s="35"/>
      <c r="O6" s="57" t="s">
        <v>731</v>
      </c>
      <c r="P6" s="57" t="s">
        <v>731</v>
      </c>
      <c r="Q6" s="57" t="s">
        <v>731</v>
      </c>
    </row>
    <row r="7" spans="1:17" s="18" customFormat="1" ht="12.75">
      <c r="A7" s="96"/>
      <c r="B7" s="35" t="s">
        <v>401</v>
      </c>
      <c r="C7" s="35" t="s">
        <v>430</v>
      </c>
      <c r="D7" s="35" t="s">
        <v>330</v>
      </c>
      <c r="E7" s="30">
        <v>12</v>
      </c>
      <c r="F7" s="35" t="s">
        <v>53</v>
      </c>
      <c r="G7" s="35" t="s">
        <v>14</v>
      </c>
      <c r="H7" s="41" t="s">
        <v>436</v>
      </c>
      <c r="I7" s="44">
        <v>212</v>
      </c>
      <c r="J7" s="44">
        <v>7960</v>
      </c>
      <c r="K7" s="22" t="s">
        <v>402</v>
      </c>
      <c r="L7" s="44">
        <v>1</v>
      </c>
      <c r="M7" s="44" t="s">
        <v>21</v>
      </c>
      <c r="N7" s="35">
        <v>0.43</v>
      </c>
      <c r="O7" s="57" t="s">
        <v>731</v>
      </c>
      <c r="P7" s="57" t="s">
        <v>731</v>
      </c>
      <c r="Q7" s="57" t="s">
        <v>731</v>
      </c>
    </row>
    <row r="8" spans="1:17" s="18" customFormat="1" ht="12.75">
      <c r="A8" s="96"/>
      <c r="B8" s="35"/>
      <c r="C8" s="35" t="s">
        <v>408</v>
      </c>
      <c r="D8" s="35"/>
      <c r="E8" s="30"/>
      <c r="F8" s="35" t="s">
        <v>53</v>
      </c>
      <c r="G8" s="35" t="s">
        <v>20</v>
      </c>
      <c r="H8" s="41">
        <v>670</v>
      </c>
      <c r="I8" s="44">
        <v>206</v>
      </c>
      <c r="J8" s="44" t="s">
        <v>18</v>
      </c>
      <c r="K8" s="22" t="s">
        <v>402</v>
      </c>
      <c r="L8" s="44">
        <v>1.01</v>
      </c>
      <c r="M8" s="44" t="s">
        <v>409</v>
      </c>
      <c r="N8" s="35"/>
      <c r="O8" s="57" t="s">
        <v>731</v>
      </c>
      <c r="P8" s="57" t="s">
        <v>731</v>
      </c>
      <c r="Q8" s="57" t="s">
        <v>731</v>
      </c>
    </row>
    <row r="9" spans="1:17" s="18" customFormat="1" ht="12.75">
      <c r="A9" s="96"/>
      <c r="B9" s="35"/>
      <c r="C9" s="59">
        <f>1030/39800</f>
        <v>2.5879396984924623E-2</v>
      </c>
      <c r="D9" s="35"/>
      <c r="E9" s="30"/>
      <c r="F9" s="35" t="s">
        <v>53</v>
      </c>
      <c r="G9" s="35" t="s">
        <v>22</v>
      </c>
      <c r="H9" s="41">
        <v>803</v>
      </c>
      <c r="I9" s="44">
        <v>197</v>
      </c>
      <c r="J9" s="44">
        <v>7953</v>
      </c>
      <c r="K9" s="22" t="s">
        <v>402</v>
      </c>
      <c r="L9" s="44">
        <v>0.96</v>
      </c>
      <c r="M9" s="44" t="s">
        <v>410</v>
      </c>
      <c r="N9" s="35"/>
      <c r="O9" s="57" t="s">
        <v>731</v>
      </c>
      <c r="P9" s="57" t="s">
        <v>731</v>
      </c>
      <c r="Q9" s="57" t="s">
        <v>731</v>
      </c>
    </row>
    <row r="10" spans="1:17" s="18" customFormat="1" ht="12.75">
      <c r="A10" s="96"/>
      <c r="B10" s="35"/>
      <c r="C10" s="35"/>
      <c r="D10" s="35"/>
      <c r="E10" s="30"/>
      <c r="F10" s="35" t="s">
        <v>53</v>
      </c>
      <c r="G10" s="35" t="s">
        <v>25</v>
      </c>
      <c r="H10" s="41">
        <v>995</v>
      </c>
      <c r="I10" s="44">
        <v>220</v>
      </c>
      <c r="J10" s="44" t="s">
        <v>18</v>
      </c>
      <c r="K10" s="22" t="s">
        <v>402</v>
      </c>
      <c r="L10" s="44">
        <v>1.04</v>
      </c>
      <c r="M10" s="44" t="s">
        <v>411</v>
      </c>
      <c r="N10" s="35"/>
      <c r="O10" s="57" t="s">
        <v>731</v>
      </c>
      <c r="P10" s="57" t="s">
        <v>731</v>
      </c>
      <c r="Q10" s="57" t="s">
        <v>731</v>
      </c>
    </row>
    <row r="11" spans="1:17" s="18" customFormat="1" ht="12.75">
      <c r="A11" s="96"/>
      <c r="B11" s="35"/>
      <c r="C11" s="35"/>
      <c r="D11" s="35"/>
      <c r="E11" s="30"/>
      <c r="F11" s="35" t="s">
        <v>53</v>
      </c>
      <c r="G11" s="35" t="s">
        <v>67</v>
      </c>
      <c r="H11" s="41">
        <v>1377</v>
      </c>
      <c r="I11" s="44">
        <v>195</v>
      </c>
      <c r="J11" s="44">
        <v>7967</v>
      </c>
      <c r="K11" s="22" t="s">
        <v>402</v>
      </c>
      <c r="L11" s="44">
        <v>0.92</v>
      </c>
      <c r="M11" s="44" t="s">
        <v>412</v>
      </c>
      <c r="N11" s="35"/>
      <c r="O11" s="57" t="s">
        <v>731</v>
      </c>
      <c r="P11" s="57" t="s">
        <v>731</v>
      </c>
      <c r="Q11" s="57" t="s">
        <v>731</v>
      </c>
    </row>
    <row r="12" spans="1:17" s="18" customFormat="1" ht="12.75">
      <c r="A12" s="96"/>
      <c r="B12" s="35" t="s">
        <v>401</v>
      </c>
      <c r="C12" s="35" t="s">
        <v>413</v>
      </c>
      <c r="D12" s="35" t="s">
        <v>330</v>
      </c>
      <c r="E12" s="30">
        <v>12</v>
      </c>
      <c r="F12" s="35" t="s">
        <v>53</v>
      </c>
      <c r="G12" s="35" t="s">
        <v>14</v>
      </c>
      <c r="H12" s="41" t="s">
        <v>435</v>
      </c>
      <c r="I12" s="44">
        <v>88</v>
      </c>
      <c r="J12" s="44">
        <v>7960</v>
      </c>
      <c r="K12" s="22" t="s">
        <v>402</v>
      </c>
      <c r="L12" s="44">
        <v>1</v>
      </c>
      <c r="M12" s="44" t="s">
        <v>21</v>
      </c>
      <c r="N12" s="35">
        <v>0.72</v>
      </c>
      <c r="O12" s="54">
        <v>79.238</v>
      </c>
      <c r="P12" s="55">
        <v>7853.78</v>
      </c>
      <c r="Q12" s="57" t="s">
        <v>731</v>
      </c>
    </row>
    <row r="13" spans="1:17" s="18" customFormat="1" ht="12.75">
      <c r="A13" s="96"/>
      <c r="B13" s="35"/>
      <c r="C13" s="35" t="s">
        <v>418</v>
      </c>
      <c r="D13" s="35"/>
      <c r="E13" s="30"/>
      <c r="F13" s="35" t="s">
        <v>53</v>
      </c>
      <c r="G13" s="35" t="s">
        <v>20</v>
      </c>
      <c r="H13" s="41">
        <v>670</v>
      </c>
      <c r="I13" s="44">
        <v>90</v>
      </c>
      <c r="J13" s="44" t="s">
        <v>18</v>
      </c>
      <c r="K13" s="22" t="s">
        <v>402</v>
      </c>
      <c r="L13" s="44">
        <v>1.17</v>
      </c>
      <c r="M13" s="44" t="s">
        <v>414</v>
      </c>
      <c r="N13" s="35"/>
      <c r="O13" s="54">
        <v>144.941</v>
      </c>
      <c r="P13" s="55">
        <v>12278.7</v>
      </c>
      <c r="Q13" s="57" t="s">
        <v>731</v>
      </c>
    </row>
    <row r="14" spans="1:17" s="18" customFormat="1" ht="12.75">
      <c r="A14" s="96"/>
      <c r="B14" s="35"/>
      <c r="C14" s="59">
        <f>428/39800</f>
        <v>1.0753768844221105E-2</v>
      </c>
      <c r="D14" s="35"/>
      <c r="E14" s="30"/>
      <c r="F14" s="35" t="s">
        <v>53</v>
      </c>
      <c r="G14" s="35" t="s">
        <v>22</v>
      </c>
      <c r="H14" s="41">
        <v>803</v>
      </c>
      <c r="I14" s="44">
        <v>70</v>
      </c>
      <c r="J14" s="44">
        <v>7953</v>
      </c>
      <c r="K14" s="22" t="s">
        <v>402</v>
      </c>
      <c r="L14" s="44">
        <v>0.93</v>
      </c>
      <c r="M14" s="44" t="s">
        <v>415</v>
      </c>
      <c r="N14" s="35"/>
      <c r="O14" s="54">
        <v>64.168000000000006</v>
      </c>
      <c r="P14" s="55">
        <v>6838.8</v>
      </c>
      <c r="Q14" s="57" t="s">
        <v>731</v>
      </c>
    </row>
    <row r="15" spans="1:17" s="18" customFormat="1" ht="12.75">
      <c r="A15" s="96"/>
      <c r="B15" s="35"/>
      <c r="C15" s="35"/>
      <c r="D15" s="35"/>
      <c r="E15" s="30"/>
      <c r="F15" s="35" t="s">
        <v>53</v>
      </c>
      <c r="G15" s="35" t="s">
        <v>25</v>
      </c>
      <c r="H15" s="41">
        <v>995</v>
      </c>
      <c r="I15" s="44">
        <v>79</v>
      </c>
      <c r="J15" s="44" t="s">
        <v>18</v>
      </c>
      <c r="K15" s="22" t="s">
        <v>402</v>
      </c>
      <c r="L15" s="44">
        <v>1.06</v>
      </c>
      <c r="M15" s="44" t="s">
        <v>416</v>
      </c>
      <c r="N15" s="35"/>
      <c r="O15" s="54">
        <v>67.215000000000003</v>
      </c>
      <c r="P15" s="55">
        <v>6285.05</v>
      </c>
      <c r="Q15" s="57" t="s">
        <v>731</v>
      </c>
    </row>
    <row r="16" spans="1:17" s="18" customFormat="1" ht="12.75">
      <c r="A16" s="96"/>
      <c r="B16" s="35"/>
      <c r="C16" s="35"/>
      <c r="D16" s="35"/>
      <c r="E16" s="30"/>
      <c r="F16" s="35" t="s">
        <v>53</v>
      </c>
      <c r="G16" s="35" t="s">
        <v>67</v>
      </c>
      <c r="H16" s="41">
        <v>1377</v>
      </c>
      <c r="I16" s="44">
        <v>101</v>
      </c>
      <c r="J16" s="44">
        <v>7967</v>
      </c>
      <c r="K16" s="22" t="s">
        <v>402</v>
      </c>
      <c r="L16" s="44">
        <v>1.1000000000000001</v>
      </c>
      <c r="M16" s="44" t="s">
        <v>417</v>
      </c>
      <c r="N16" s="35"/>
      <c r="O16" s="54">
        <v>66.727999999999994</v>
      </c>
      <c r="P16" s="55">
        <v>6012.57</v>
      </c>
      <c r="Q16" s="57" t="s">
        <v>731</v>
      </c>
    </row>
    <row r="17" spans="1:17" s="18" customFormat="1" ht="12.75">
      <c r="A17" s="96"/>
      <c r="B17" s="35" t="s">
        <v>401</v>
      </c>
      <c r="C17" s="35" t="s">
        <v>429</v>
      </c>
      <c r="D17" s="18" t="s">
        <v>438</v>
      </c>
      <c r="E17" s="30">
        <v>12</v>
      </c>
      <c r="F17" s="35" t="s">
        <v>53</v>
      </c>
      <c r="G17" s="35" t="s">
        <v>14</v>
      </c>
      <c r="H17" s="20" t="s">
        <v>440</v>
      </c>
      <c r="I17" s="18">
        <v>241</v>
      </c>
      <c r="J17" s="18" t="s">
        <v>179</v>
      </c>
      <c r="K17" s="22" t="s">
        <v>402</v>
      </c>
      <c r="L17" s="18">
        <v>1</v>
      </c>
      <c r="M17" s="18" t="s">
        <v>37</v>
      </c>
      <c r="N17" s="18">
        <v>0.11</v>
      </c>
      <c r="O17" s="57" t="s">
        <v>731</v>
      </c>
      <c r="P17" s="57" t="s">
        <v>731</v>
      </c>
      <c r="Q17" s="57" t="s">
        <v>731</v>
      </c>
    </row>
    <row r="18" spans="1:17" s="18" customFormat="1" ht="12.75">
      <c r="A18" s="96"/>
      <c r="B18" s="35"/>
      <c r="C18" s="35" t="s">
        <v>444</v>
      </c>
      <c r="E18" s="30"/>
      <c r="F18" s="35" t="s">
        <v>53</v>
      </c>
      <c r="G18" s="35" t="s">
        <v>20</v>
      </c>
      <c r="H18" s="20">
        <v>625</v>
      </c>
      <c r="I18" s="18">
        <v>235</v>
      </c>
      <c r="J18" s="18" t="s">
        <v>18</v>
      </c>
      <c r="K18" s="22" t="s">
        <v>402</v>
      </c>
      <c r="L18" s="18">
        <v>1</v>
      </c>
      <c r="M18" s="18" t="s">
        <v>445</v>
      </c>
      <c r="O18" s="57" t="s">
        <v>731</v>
      </c>
      <c r="P18" s="57" t="s">
        <v>731</v>
      </c>
      <c r="Q18" s="57" t="s">
        <v>731</v>
      </c>
    </row>
    <row r="19" spans="1:17" s="18" customFormat="1" ht="12.75">
      <c r="A19" s="96"/>
      <c r="B19" s="35"/>
      <c r="C19" s="59"/>
      <c r="E19" s="30"/>
      <c r="F19" s="35" t="s">
        <v>53</v>
      </c>
      <c r="G19" s="35" t="s">
        <v>22</v>
      </c>
      <c r="H19" s="20">
        <v>738</v>
      </c>
      <c r="I19" s="18">
        <v>226</v>
      </c>
      <c r="J19" s="18" t="s">
        <v>18</v>
      </c>
      <c r="K19" s="22" t="s">
        <v>402</v>
      </c>
      <c r="L19" s="18">
        <v>0.97</v>
      </c>
      <c r="M19" s="18" t="s">
        <v>446</v>
      </c>
      <c r="O19" s="57" t="s">
        <v>731</v>
      </c>
      <c r="P19" s="57" t="s">
        <v>731</v>
      </c>
      <c r="Q19" s="57" t="s">
        <v>731</v>
      </c>
    </row>
    <row r="20" spans="1:17" s="18" customFormat="1" ht="12.75">
      <c r="A20" s="96"/>
      <c r="B20" s="35"/>
      <c r="C20" s="35"/>
      <c r="E20" s="30"/>
      <c r="F20" s="35" t="s">
        <v>53</v>
      </c>
      <c r="G20" s="35" t="s">
        <v>25</v>
      </c>
      <c r="H20" s="20">
        <v>880</v>
      </c>
      <c r="I20" s="18">
        <v>206</v>
      </c>
      <c r="J20" s="18" t="s">
        <v>18</v>
      </c>
      <c r="K20" s="22" t="s">
        <v>402</v>
      </c>
      <c r="L20" s="18">
        <v>0.86</v>
      </c>
      <c r="M20" s="18" t="s">
        <v>447</v>
      </c>
      <c r="O20" s="57" t="s">
        <v>731</v>
      </c>
      <c r="P20" s="57" t="s">
        <v>731</v>
      </c>
      <c r="Q20" s="57" t="s">
        <v>731</v>
      </c>
    </row>
    <row r="21" spans="1:17" s="18" customFormat="1" ht="12.75">
      <c r="A21" s="96"/>
      <c r="B21" s="35"/>
      <c r="C21" s="35"/>
      <c r="E21" s="30"/>
      <c r="F21" s="35" t="s">
        <v>53</v>
      </c>
      <c r="G21" s="35" t="s">
        <v>67</v>
      </c>
      <c r="H21" s="20">
        <v>1190</v>
      </c>
      <c r="I21" s="18">
        <v>233</v>
      </c>
      <c r="J21" s="18" t="s">
        <v>18</v>
      </c>
      <c r="K21" s="22" t="s">
        <v>402</v>
      </c>
      <c r="L21" s="18">
        <v>0.9</v>
      </c>
      <c r="M21" s="18" t="s">
        <v>448</v>
      </c>
      <c r="O21" s="57" t="s">
        <v>731</v>
      </c>
      <c r="P21" s="57" t="s">
        <v>731</v>
      </c>
      <c r="Q21" s="57" t="s">
        <v>731</v>
      </c>
    </row>
    <row r="22" spans="1:17" s="18" customFormat="1" ht="12.75">
      <c r="A22" s="96"/>
      <c r="B22" s="35" t="s">
        <v>401</v>
      </c>
      <c r="C22" s="35" t="s">
        <v>430</v>
      </c>
      <c r="D22" s="18" t="s">
        <v>56</v>
      </c>
      <c r="E22" s="30">
        <v>12</v>
      </c>
      <c r="F22" s="35" t="s">
        <v>53</v>
      </c>
      <c r="G22" s="35" t="s">
        <v>14</v>
      </c>
      <c r="H22" s="20" t="s">
        <v>440</v>
      </c>
      <c r="I22" s="18">
        <v>170</v>
      </c>
      <c r="J22" s="18" t="s">
        <v>443</v>
      </c>
      <c r="K22" s="22" t="s">
        <v>402</v>
      </c>
      <c r="L22" s="18">
        <v>1</v>
      </c>
      <c r="M22" s="18" t="s">
        <v>37</v>
      </c>
      <c r="N22" s="18">
        <v>0.09</v>
      </c>
      <c r="O22" s="57" t="s">
        <v>731</v>
      </c>
      <c r="P22" s="57" t="s">
        <v>731</v>
      </c>
      <c r="Q22" s="57" t="s">
        <v>731</v>
      </c>
    </row>
    <row r="23" spans="1:17" s="18" customFormat="1" ht="12.75">
      <c r="A23" s="96"/>
      <c r="B23" s="35"/>
      <c r="C23" s="35" t="s">
        <v>454</v>
      </c>
      <c r="E23" s="30"/>
      <c r="F23" s="35" t="s">
        <v>53</v>
      </c>
      <c r="G23" s="35" t="s">
        <v>20</v>
      </c>
      <c r="H23" s="20">
        <v>625</v>
      </c>
      <c r="I23" s="18">
        <v>169</v>
      </c>
      <c r="J23" s="18" t="s">
        <v>18</v>
      </c>
      <c r="K23" s="22" t="s">
        <v>402</v>
      </c>
      <c r="L23" s="18">
        <v>1.02</v>
      </c>
      <c r="M23" s="18" t="s">
        <v>456</v>
      </c>
      <c r="O23" s="57" t="s">
        <v>731</v>
      </c>
      <c r="P23" s="57" t="s">
        <v>731</v>
      </c>
      <c r="Q23" s="57" t="s">
        <v>731</v>
      </c>
    </row>
    <row r="24" spans="1:17" s="18" customFormat="1" ht="12.75">
      <c r="A24" s="96"/>
      <c r="B24" s="35"/>
      <c r="C24" s="59"/>
      <c r="E24" s="30"/>
      <c r="F24" s="35" t="s">
        <v>53</v>
      </c>
      <c r="G24" s="35" t="s">
        <v>22</v>
      </c>
      <c r="H24" s="20">
        <v>738</v>
      </c>
      <c r="I24" s="18">
        <v>157</v>
      </c>
      <c r="J24" s="18" t="s">
        <v>18</v>
      </c>
      <c r="K24" s="22" t="s">
        <v>402</v>
      </c>
      <c r="L24" s="18">
        <v>0.96</v>
      </c>
      <c r="M24" s="18" t="s">
        <v>457</v>
      </c>
      <c r="O24" s="57" t="s">
        <v>731</v>
      </c>
      <c r="P24" s="57" t="s">
        <v>731</v>
      </c>
      <c r="Q24" s="57" t="s">
        <v>731</v>
      </c>
    </row>
    <row r="25" spans="1:17" s="18" customFormat="1" ht="12.75">
      <c r="A25" s="96"/>
      <c r="B25" s="35"/>
      <c r="C25" s="35"/>
      <c r="E25" s="30"/>
      <c r="F25" s="35" t="s">
        <v>53</v>
      </c>
      <c r="G25" s="35" t="s">
        <v>25</v>
      </c>
      <c r="H25" s="20">
        <v>880</v>
      </c>
      <c r="I25" s="18">
        <v>160</v>
      </c>
      <c r="J25" s="18" t="s">
        <v>18</v>
      </c>
      <c r="K25" s="22" t="s">
        <v>402</v>
      </c>
      <c r="L25" s="18">
        <v>0.95</v>
      </c>
      <c r="M25" s="18" t="s">
        <v>458</v>
      </c>
      <c r="O25" s="57" t="s">
        <v>731</v>
      </c>
      <c r="P25" s="57" t="s">
        <v>731</v>
      </c>
      <c r="Q25" s="57" t="s">
        <v>731</v>
      </c>
    </row>
    <row r="26" spans="1:17" s="18" customFormat="1" ht="12.75">
      <c r="A26" s="96"/>
      <c r="B26" s="35"/>
      <c r="C26" s="35"/>
      <c r="E26" s="30"/>
      <c r="F26" s="35" t="s">
        <v>53</v>
      </c>
      <c r="G26" s="35" t="s">
        <v>67</v>
      </c>
      <c r="H26" s="20">
        <v>1190</v>
      </c>
      <c r="I26" s="18">
        <v>148</v>
      </c>
      <c r="J26" s="18" t="s">
        <v>18</v>
      </c>
      <c r="K26" s="22" t="s">
        <v>402</v>
      </c>
      <c r="L26" s="18">
        <v>0.82</v>
      </c>
      <c r="M26" s="18" t="s">
        <v>459</v>
      </c>
      <c r="O26" s="57" t="s">
        <v>731</v>
      </c>
      <c r="P26" s="57" t="s">
        <v>731</v>
      </c>
      <c r="Q26" s="57" t="s">
        <v>731</v>
      </c>
    </row>
    <row r="27" spans="1:17" s="18" customFormat="1" ht="12.75">
      <c r="A27" s="96"/>
      <c r="B27" s="35" t="s">
        <v>401</v>
      </c>
      <c r="C27" s="35" t="s">
        <v>413</v>
      </c>
      <c r="D27" s="18" t="s">
        <v>56</v>
      </c>
      <c r="E27" s="30">
        <v>12</v>
      </c>
      <c r="F27" s="35" t="s">
        <v>53</v>
      </c>
      <c r="G27" s="35" t="s">
        <v>14</v>
      </c>
      <c r="H27" s="20" t="s">
        <v>440</v>
      </c>
      <c r="I27" s="18">
        <v>71</v>
      </c>
      <c r="J27" s="18" t="s">
        <v>18</v>
      </c>
      <c r="K27" s="22" t="s">
        <v>402</v>
      </c>
      <c r="L27" s="18">
        <v>1</v>
      </c>
      <c r="M27" s="18" t="s">
        <v>37</v>
      </c>
      <c r="N27" s="18">
        <v>0.53</v>
      </c>
      <c r="O27" s="57" t="s">
        <v>731</v>
      </c>
      <c r="P27" s="57" t="s">
        <v>731</v>
      </c>
      <c r="Q27" s="57" t="s">
        <v>731</v>
      </c>
    </row>
    <row r="28" spans="1:17" s="18" customFormat="1" ht="12.75">
      <c r="A28" s="96"/>
      <c r="B28" s="35"/>
      <c r="C28" s="35" t="s">
        <v>455</v>
      </c>
      <c r="E28" s="30"/>
      <c r="F28" s="35" t="s">
        <v>53</v>
      </c>
      <c r="G28" s="35" t="s">
        <v>20</v>
      </c>
      <c r="H28" s="20">
        <v>625</v>
      </c>
      <c r="I28" s="18">
        <v>66</v>
      </c>
      <c r="J28" s="18" t="s">
        <v>18</v>
      </c>
      <c r="K28" s="22" t="s">
        <v>402</v>
      </c>
      <c r="L28" s="18">
        <v>1.02</v>
      </c>
      <c r="M28" s="18" t="s">
        <v>460</v>
      </c>
      <c r="O28" s="57" t="s">
        <v>731</v>
      </c>
      <c r="P28" s="57" t="s">
        <v>731</v>
      </c>
      <c r="Q28" s="57" t="s">
        <v>731</v>
      </c>
    </row>
    <row r="29" spans="1:17" s="18" customFormat="1" ht="12.75">
      <c r="A29" s="96"/>
      <c r="B29" s="35"/>
      <c r="C29" s="59"/>
      <c r="E29" s="30"/>
      <c r="F29" s="35" t="s">
        <v>53</v>
      </c>
      <c r="G29" s="35" t="s">
        <v>22</v>
      </c>
      <c r="H29" s="20">
        <v>738</v>
      </c>
      <c r="I29" s="18">
        <v>69</v>
      </c>
      <c r="J29" s="18" t="s">
        <v>179</v>
      </c>
      <c r="K29" s="22" t="s">
        <v>402</v>
      </c>
      <c r="L29" s="18">
        <v>1.08</v>
      </c>
      <c r="M29" s="18" t="s">
        <v>461</v>
      </c>
      <c r="O29" s="57" t="s">
        <v>731</v>
      </c>
      <c r="P29" s="57" t="s">
        <v>731</v>
      </c>
      <c r="Q29" s="57" t="s">
        <v>731</v>
      </c>
    </row>
    <row r="30" spans="1:17" s="18" customFormat="1" ht="12.75">
      <c r="A30" s="96"/>
      <c r="E30" s="30"/>
      <c r="F30" s="35" t="s">
        <v>53</v>
      </c>
      <c r="G30" s="35" t="s">
        <v>25</v>
      </c>
      <c r="H30" s="20">
        <v>880</v>
      </c>
      <c r="I30" s="18">
        <v>46</v>
      </c>
      <c r="J30" s="18" t="s">
        <v>18</v>
      </c>
      <c r="K30" s="22" t="s">
        <v>402</v>
      </c>
      <c r="L30" s="18">
        <v>0.77</v>
      </c>
      <c r="M30" s="18" t="s">
        <v>462</v>
      </c>
      <c r="O30" s="57" t="s">
        <v>731</v>
      </c>
      <c r="P30" s="57" t="s">
        <v>731</v>
      </c>
      <c r="Q30" s="57" t="s">
        <v>731</v>
      </c>
    </row>
    <row r="31" spans="1:17" s="18" customFormat="1" ht="12.75">
      <c r="A31" s="96"/>
      <c r="E31" s="30"/>
      <c r="F31" s="35" t="s">
        <v>53</v>
      </c>
      <c r="G31" s="35" t="s">
        <v>67</v>
      </c>
      <c r="H31" s="20">
        <v>1190</v>
      </c>
      <c r="I31" s="18">
        <v>85</v>
      </c>
      <c r="J31" s="18" t="s">
        <v>18</v>
      </c>
      <c r="K31" s="22" t="s">
        <v>402</v>
      </c>
      <c r="L31" s="18">
        <v>1.21</v>
      </c>
      <c r="M31" s="18" t="s">
        <v>463</v>
      </c>
      <c r="O31" s="57" t="s">
        <v>731</v>
      </c>
      <c r="P31" s="57" t="s">
        <v>731</v>
      </c>
      <c r="Q31" s="57" t="s">
        <v>731</v>
      </c>
    </row>
    <row r="32" spans="1:17" s="18" customFormat="1" ht="12.75">
      <c r="A32" s="96"/>
      <c r="B32" s="35" t="s">
        <v>401</v>
      </c>
      <c r="C32" s="35" t="s">
        <v>429</v>
      </c>
      <c r="D32" s="18" t="s">
        <v>439</v>
      </c>
      <c r="E32" s="30">
        <v>12</v>
      </c>
      <c r="F32" s="35" t="s">
        <v>53</v>
      </c>
      <c r="G32" s="18" t="s">
        <v>37</v>
      </c>
      <c r="H32" s="20">
        <v>0</v>
      </c>
      <c r="I32" s="18">
        <v>1199</v>
      </c>
      <c r="J32" s="18" t="s">
        <v>18</v>
      </c>
      <c r="K32" s="22" t="s">
        <v>402</v>
      </c>
      <c r="L32" s="18">
        <v>1</v>
      </c>
      <c r="M32" s="18" t="s">
        <v>449</v>
      </c>
      <c r="N32" s="18">
        <v>0.22</v>
      </c>
      <c r="O32" s="57" t="s">
        <v>731</v>
      </c>
      <c r="P32" s="57" t="s">
        <v>731</v>
      </c>
      <c r="Q32" s="57" t="s">
        <v>731</v>
      </c>
    </row>
    <row r="33" spans="1:17" s="18" customFormat="1" ht="12.75">
      <c r="A33" s="96"/>
      <c r="B33" s="35"/>
      <c r="C33" s="35" t="s">
        <v>403</v>
      </c>
      <c r="E33" s="30"/>
      <c r="F33" s="35" t="s">
        <v>53</v>
      </c>
      <c r="G33" s="35" t="s">
        <v>14</v>
      </c>
      <c r="H33" s="20" t="s">
        <v>441</v>
      </c>
      <c r="I33" s="18">
        <v>50</v>
      </c>
      <c r="J33" s="18" t="s">
        <v>18</v>
      </c>
      <c r="K33" s="22" t="s">
        <v>402</v>
      </c>
      <c r="L33" s="18">
        <v>0.95</v>
      </c>
      <c r="M33" s="18" t="s">
        <v>450</v>
      </c>
      <c r="O33" s="57" t="s">
        <v>731</v>
      </c>
      <c r="P33" s="57" t="s">
        <v>731</v>
      </c>
      <c r="Q33" s="57" t="s">
        <v>731</v>
      </c>
    </row>
    <row r="34" spans="1:17" s="18" customFormat="1" ht="12.75">
      <c r="A34" s="96"/>
      <c r="B34" s="35"/>
      <c r="C34" s="59">
        <f>1458/39800</f>
        <v>3.6633165829145727E-2</v>
      </c>
      <c r="E34" s="30"/>
      <c r="F34" s="35" t="s">
        <v>53</v>
      </c>
      <c r="G34" s="35" t="s">
        <v>20</v>
      </c>
      <c r="H34" s="20">
        <v>200</v>
      </c>
      <c r="I34" s="18">
        <v>76</v>
      </c>
      <c r="J34" s="18" t="s">
        <v>443</v>
      </c>
      <c r="K34" s="22" t="s">
        <v>402</v>
      </c>
      <c r="L34" s="18">
        <v>0.99</v>
      </c>
      <c r="M34" s="18" t="s">
        <v>451</v>
      </c>
      <c r="O34" s="57" t="s">
        <v>731</v>
      </c>
      <c r="P34" s="57" t="s">
        <v>731</v>
      </c>
      <c r="Q34" s="57" t="s">
        <v>731</v>
      </c>
    </row>
    <row r="35" spans="1:17" s="18" customFormat="1" ht="12.75">
      <c r="A35" s="96"/>
      <c r="B35" s="35"/>
      <c r="C35" s="59"/>
      <c r="E35" s="30"/>
      <c r="F35" s="35" t="s">
        <v>53</v>
      </c>
      <c r="G35" s="35" t="s">
        <v>22</v>
      </c>
      <c r="H35" s="20">
        <v>325</v>
      </c>
      <c r="I35" s="18">
        <v>30</v>
      </c>
      <c r="J35" s="18" t="s">
        <v>179</v>
      </c>
      <c r="K35" s="22" t="s">
        <v>402</v>
      </c>
      <c r="L35" s="18">
        <v>0.95</v>
      </c>
      <c r="M35" s="18" t="s">
        <v>452</v>
      </c>
      <c r="O35" s="57" t="s">
        <v>731</v>
      </c>
      <c r="P35" s="57" t="s">
        <v>731</v>
      </c>
      <c r="Q35" s="57" t="s">
        <v>731</v>
      </c>
    </row>
    <row r="36" spans="1:17" s="18" customFormat="1" ht="12.75">
      <c r="A36" s="96"/>
      <c r="B36" s="35"/>
      <c r="C36" s="35"/>
      <c r="E36" s="30"/>
      <c r="F36" s="35" t="s">
        <v>53</v>
      </c>
      <c r="G36" s="35" t="s">
        <v>25</v>
      </c>
      <c r="H36" s="20">
        <v>500</v>
      </c>
      <c r="I36" s="18">
        <v>54</v>
      </c>
      <c r="J36" s="18" t="s">
        <v>18</v>
      </c>
      <c r="K36" s="22" t="s">
        <v>402</v>
      </c>
      <c r="L36" s="18">
        <v>0.88</v>
      </c>
      <c r="M36" s="18" t="s">
        <v>453</v>
      </c>
      <c r="O36" s="57" t="s">
        <v>731</v>
      </c>
      <c r="P36" s="57" t="s">
        <v>731</v>
      </c>
      <c r="Q36" s="57" t="s">
        <v>731</v>
      </c>
    </row>
    <row r="37" spans="1:17" s="18" customFormat="1" ht="12.75">
      <c r="A37" s="96"/>
      <c r="B37" s="35"/>
      <c r="C37" s="35"/>
      <c r="E37" s="30"/>
      <c r="F37" s="35" t="s">
        <v>53</v>
      </c>
      <c r="G37" s="35" t="s">
        <v>67</v>
      </c>
      <c r="H37" s="20">
        <v>1000</v>
      </c>
      <c r="I37" s="18">
        <v>49</v>
      </c>
      <c r="J37" s="18" t="s">
        <v>18</v>
      </c>
      <c r="K37" s="22" t="s">
        <v>402</v>
      </c>
      <c r="L37" s="18">
        <v>0.85</v>
      </c>
      <c r="M37" s="18" t="s">
        <v>350</v>
      </c>
      <c r="O37" s="57" t="s">
        <v>731</v>
      </c>
      <c r="P37" s="57" t="s">
        <v>731</v>
      </c>
      <c r="Q37" s="57" t="s">
        <v>731</v>
      </c>
    </row>
    <row r="38" spans="1:17" s="18" customFormat="1" ht="12.75">
      <c r="A38" s="96"/>
      <c r="B38" s="35" t="s">
        <v>401</v>
      </c>
      <c r="C38" s="35" t="s">
        <v>430</v>
      </c>
      <c r="D38" s="18" t="s">
        <v>439</v>
      </c>
      <c r="E38" s="30">
        <v>12</v>
      </c>
      <c r="F38" s="35" t="s">
        <v>53</v>
      </c>
      <c r="G38" s="18" t="s">
        <v>41</v>
      </c>
      <c r="H38" s="20">
        <v>0</v>
      </c>
      <c r="I38" s="18">
        <v>847</v>
      </c>
      <c r="J38" s="18" t="s">
        <v>18</v>
      </c>
      <c r="K38" s="22" t="s">
        <v>402</v>
      </c>
      <c r="L38" s="18">
        <v>1</v>
      </c>
      <c r="M38" s="18" t="s">
        <v>37</v>
      </c>
      <c r="N38" s="18">
        <v>0.84</v>
      </c>
      <c r="O38" s="57" t="s">
        <v>731</v>
      </c>
      <c r="P38" s="57" t="s">
        <v>731</v>
      </c>
      <c r="Q38" s="57" t="s">
        <v>731</v>
      </c>
    </row>
    <row r="39" spans="1:17" s="18" customFormat="1" ht="12.75">
      <c r="A39" s="96"/>
      <c r="B39" s="35"/>
      <c r="C39" s="35" t="s">
        <v>408</v>
      </c>
      <c r="E39" s="30"/>
      <c r="F39" s="35" t="s">
        <v>53</v>
      </c>
      <c r="G39" s="35" t="s">
        <v>14</v>
      </c>
      <c r="H39" s="20" t="s">
        <v>441</v>
      </c>
      <c r="I39" s="18">
        <v>36</v>
      </c>
      <c r="J39" s="18" t="s">
        <v>18</v>
      </c>
      <c r="K39" s="22" t="s">
        <v>402</v>
      </c>
      <c r="L39" s="18">
        <v>1.07</v>
      </c>
      <c r="M39" s="18" t="s">
        <v>464</v>
      </c>
      <c r="O39" s="57" t="s">
        <v>731</v>
      </c>
      <c r="P39" s="57" t="s">
        <v>731</v>
      </c>
      <c r="Q39" s="57" t="s">
        <v>731</v>
      </c>
    </row>
    <row r="40" spans="1:17" s="18" customFormat="1" ht="12.75">
      <c r="A40" s="96"/>
      <c r="B40" s="35"/>
      <c r="C40" s="59">
        <f>1030/39800</f>
        <v>2.5879396984924623E-2</v>
      </c>
      <c r="E40" s="30"/>
      <c r="F40" s="35" t="s">
        <v>53</v>
      </c>
      <c r="G40" s="35" t="s">
        <v>20</v>
      </c>
      <c r="H40" s="20">
        <v>200</v>
      </c>
      <c r="I40" s="18">
        <v>49</v>
      </c>
      <c r="J40" s="18" t="s">
        <v>443</v>
      </c>
      <c r="K40" s="22" t="s">
        <v>402</v>
      </c>
      <c r="L40" s="18">
        <v>1.07</v>
      </c>
      <c r="M40" s="18" t="s">
        <v>465</v>
      </c>
      <c r="O40" s="57" t="s">
        <v>731</v>
      </c>
      <c r="P40" s="57" t="s">
        <v>731</v>
      </c>
      <c r="Q40" s="57" t="s">
        <v>731</v>
      </c>
    </row>
    <row r="41" spans="1:17" s="18" customFormat="1" ht="12.75">
      <c r="A41" s="96"/>
      <c r="B41" s="35"/>
      <c r="C41" s="35"/>
      <c r="E41" s="30"/>
      <c r="F41" s="35" t="s">
        <v>53</v>
      </c>
      <c r="G41" s="35" t="s">
        <v>22</v>
      </c>
      <c r="H41" s="20">
        <v>325</v>
      </c>
      <c r="I41" s="18">
        <v>22</v>
      </c>
      <c r="J41" s="18" t="s">
        <v>18</v>
      </c>
      <c r="K41" s="22" t="s">
        <v>402</v>
      </c>
      <c r="L41" s="18">
        <v>1.07</v>
      </c>
      <c r="M41" s="18" t="s">
        <v>466</v>
      </c>
      <c r="O41" s="57" t="s">
        <v>731</v>
      </c>
      <c r="P41" s="57" t="s">
        <v>731</v>
      </c>
      <c r="Q41" s="57" t="s">
        <v>731</v>
      </c>
    </row>
    <row r="42" spans="1:17" s="18" customFormat="1" ht="12.75">
      <c r="A42" s="96"/>
      <c r="B42" s="35"/>
      <c r="C42" s="35"/>
      <c r="E42" s="30"/>
      <c r="F42" s="35" t="s">
        <v>53</v>
      </c>
      <c r="G42" s="35" t="s">
        <v>25</v>
      </c>
      <c r="H42" s="20">
        <v>500</v>
      </c>
      <c r="I42" s="18">
        <v>40</v>
      </c>
      <c r="J42" s="18" t="s">
        <v>18</v>
      </c>
      <c r="K42" s="22" t="s">
        <v>402</v>
      </c>
      <c r="L42" s="18">
        <v>1.04</v>
      </c>
      <c r="M42" s="18" t="s">
        <v>467</v>
      </c>
      <c r="O42" s="57" t="s">
        <v>731</v>
      </c>
      <c r="P42" s="57" t="s">
        <v>731</v>
      </c>
      <c r="Q42" s="57" t="s">
        <v>731</v>
      </c>
    </row>
    <row r="43" spans="1:17" s="18" customFormat="1" ht="12.75">
      <c r="A43" s="96"/>
      <c r="B43" s="35"/>
      <c r="C43" s="35"/>
      <c r="E43" s="30"/>
      <c r="F43" s="35" t="s">
        <v>53</v>
      </c>
      <c r="G43" s="35" t="s">
        <v>67</v>
      </c>
      <c r="H43" s="20">
        <v>1000</v>
      </c>
      <c r="I43" s="18">
        <v>36</v>
      </c>
      <c r="J43" s="18" t="s">
        <v>18</v>
      </c>
      <c r="K43" s="22" t="s">
        <v>402</v>
      </c>
      <c r="L43" s="18">
        <v>1.02</v>
      </c>
      <c r="M43" s="18" t="s">
        <v>468</v>
      </c>
      <c r="O43" s="57" t="s">
        <v>731</v>
      </c>
      <c r="P43" s="57" t="s">
        <v>731</v>
      </c>
      <c r="Q43" s="57" t="s">
        <v>731</v>
      </c>
    </row>
    <row r="44" spans="1:17" s="18" customFormat="1" ht="12.75">
      <c r="A44" s="96"/>
      <c r="B44" s="35" t="s">
        <v>401</v>
      </c>
      <c r="C44" s="35" t="s">
        <v>413</v>
      </c>
      <c r="D44" s="18" t="s">
        <v>439</v>
      </c>
      <c r="E44" s="30">
        <v>12</v>
      </c>
      <c r="F44" s="35" t="s">
        <v>53</v>
      </c>
      <c r="G44" s="18" t="s">
        <v>37</v>
      </c>
      <c r="H44" s="20">
        <v>0</v>
      </c>
      <c r="I44" s="18">
        <v>352</v>
      </c>
      <c r="J44" s="18" t="s">
        <v>18</v>
      </c>
      <c r="K44" s="22" t="s">
        <v>402</v>
      </c>
      <c r="L44" s="18">
        <v>1</v>
      </c>
      <c r="M44" s="18" t="s">
        <v>37</v>
      </c>
      <c r="N44" s="18">
        <v>0.05</v>
      </c>
      <c r="O44" s="57" t="s">
        <v>731</v>
      </c>
      <c r="P44" s="57" t="s">
        <v>731</v>
      </c>
      <c r="Q44" s="57" t="s">
        <v>731</v>
      </c>
    </row>
    <row r="45" spans="1:17" s="18" customFormat="1" ht="12.75">
      <c r="A45" s="96"/>
      <c r="B45" s="35"/>
      <c r="C45" s="35" t="s">
        <v>418</v>
      </c>
      <c r="E45" s="30"/>
      <c r="F45" s="35" t="s">
        <v>53</v>
      </c>
      <c r="G45" s="35" t="s">
        <v>14</v>
      </c>
      <c r="H45" s="20" t="s">
        <v>441</v>
      </c>
      <c r="I45" s="18">
        <v>14</v>
      </c>
      <c r="J45" s="18" t="s">
        <v>18</v>
      </c>
      <c r="K45" s="22" t="s">
        <v>402</v>
      </c>
      <c r="L45" s="18">
        <v>0.68</v>
      </c>
      <c r="M45" s="18" t="s">
        <v>469</v>
      </c>
      <c r="O45" s="57" t="s">
        <v>731</v>
      </c>
      <c r="P45" s="57" t="s">
        <v>731</v>
      </c>
      <c r="Q45" s="57" t="s">
        <v>731</v>
      </c>
    </row>
    <row r="46" spans="1:17" s="18" customFormat="1" ht="12.75">
      <c r="A46" s="96"/>
      <c r="B46" s="35"/>
      <c r="C46" s="59">
        <f>428/39800</f>
        <v>1.0753768844221105E-2</v>
      </c>
      <c r="E46" s="30"/>
      <c r="F46" s="35" t="s">
        <v>53</v>
      </c>
      <c r="G46" s="35" t="s">
        <v>20</v>
      </c>
      <c r="H46" s="20">
        <v>200</v>
      </c>
      <c r="I46" s="18">
        <v>27</v>
      </c>
      <c r="J46" s="18" t="s">
        <v>18</v>
      </c>
      <c r="K46" s="22" t="s">
        <v>402</v>
      </c>
      <c r="L46" s="18">
        <v>0.83</v>
      </c>
      <c r="M46" s="18" t="s">
        <v>470</v>
      </c>
      <c r="O46" s="57" t="s">
        <v>731</v>
      </c>
      <c r="P46" s="57" t="s">
        <v>731</v>
      </c>
      <c r="Q46" s="57" t="s">
        <v>731</v>
      </c>
    </row>
    <row r="47" spans="1:17" s="18" customFormat="1" ht="12.75">
      <c r="A47" s="96"/>
      <c r="E47" s="20"/>
      <c r="F47" s="18" t="s">
        <v>18</v>
      </c>
      <c r="G47" s="35" t="s">
        <v>22</v>
      </c>
      <c r="H47" s="20">
        <v>325</v>
      </c>
      <c r="I47" s="18">
        <v>8</v>
      </c>
      <c r="J47" s="18" t="s">
        <v>18</v>
      </c>
      <c r="K47" s="18" t="s">
        <v>442</v>
      </c>
      <c r="L47" s="18">
        <v>0.79</v>
      </c>
      <c r="M47" s="18" t="s">
        <v>471</v>
      </c>
      <c r="O47" s="57" t="s">
        <v>731</v>
      </c>
      <c r="P47" s="57" t="s">
        <v>731</v>
      </c>
      <c r="Q47" s="57" t="s">
        <v>731</v>
      </c>
    </row>
    <row r="48" spans="1:17" s="18" customFormat="1" ht="12.75">
      <c r="A48" s="96"/>
      <c r="E48" s="20"/>
      <c r="F48" s="18" t="s">
        <v>18</v>
      </c>
      <c r="G48" s="35" t="s">
        <v>25</v>
      </c>
      <c r="H48" s="20">
        <v>500</v>
      </c>
      <c r="I48" s="18">
        <v>14</v>
      </c>
      <c r="J48" s="18" t="s">
        <v>18</v>
      </c>
      <c r="K48" s="18" t="s">
        <v>442</v>
      </c>
      <c r="L48" s="18">
        <v>0.66</v>
      </c>
      <c r="M48" s="18" t="s">
        <v>472</v>
      </c>
      <c r="O48" s="57" t="s">
        <v>731</v>
      </c>
      <c r="P48" s="57" t="s">
        <v>731</v>
      </c>
      <c r="Q48" s="57" t="s">
        <v>731</v>
      </c>
    </row>
    <row r="49" spans="1:17" s="18" customFormat="1" ht="12.75">
      <c r="A49" s="96"/>
      <c r="E49" s="20"/>
      <c r="F49" s="18" t="s">
        <v>18</v>
      </c>
      <c r="G49" s="35" t="s">
        <v>67</v>
      </c>
      <c r="H49" s="20">
        <v>1000</v>
      </c>
      <c r="I49" s="18">
        <v>13</v>
      </c>
      <c r="J49" s="18" t="s">
        <v>18</v>
      </c>
      <c r="K49" s="18" t="s">
        <v>442</v>
      </c>
      <c r="L49" s="18">
        <v>0.61</v>
      </c>
      <c r="M49" s="18" t="s">
        <v>473</v>
      </c>
      <c r="O49" s="57" t="s">
        <v>731</v>
      </c>
      <c r="P49" s="57" t="s">
        <v>731</v>
      </c>
      <c r="Q49" s="57" t="s">
        <v>731</v>
      </c>
    </row>
    <row r="50" spans="1:17" s="49" customFormat="1" ht="12.75">
      <c r="A50" s="97" t="s">
        <v>744</v>
      </c>
      <c r="B50" s="6" t="s">
        <v>401</v>
      </c>
      <c r="C50" s="6" t="s">
        <v>426</v>
      </c>
      <c r="D50" s="6" t="s">
        <v>33</v>
      </c>
      <c r="E50" s="3">
        <v>8</v>
      </c>
      <c r="F50" s="6">
        <v>64728</v>
      </c>
      <c r="G50" s="6" t="s">
        <v>14</v>
      </c>
      <c r="H50" s="60" t="s">
        <v>424</v>
      </c>
      <c r="I50" s="61">
        <v>75</v>
      </c>
      <c r="J50" s="7" t="s">
        <v>53</v>
      </c>
      <c r="K50" s="7" t="s">
        <v>402</v>
      </c>
      <c r="L50" s="61">
        <v>1</v>
      </c>
      <c r="M50" s="61" t="s">
        <v>21</v>
      </c>
      <c r="N50" s="6">
        <v>0.1</v>
      </c>
      <c r="O50" s="51">
        <v>71.252399999999994</v>
      </c>
      <c r="P50" s="52">
        <v>8352.31</v>
      </c>
      <c r="Q50" s="62" t="s">
        <v>731</v>
      </c>
    </row>
    <row r="51" spans="1:17" s="49" customFormat="1" ht="12.75">
      <c r="A51" s="97"/>
      <c r="B51" s="6"/>
      <c r="C51" s="6" t="s">
        <v>419</v>
      </c>
      <c r="D51" s="6"/>
      <c r="E51" s="3"/>
      <c r="F51" s="6">
        <v>65534</v>
      </c>
      <c r="G51" s="6" t="s">
        <v>20</v>
      </c>
      <c r="H51" s="60">
        <v>700</v>
      </c>
      <c r="I51" s="61">
        <v>69</v>
      </c>
      <c r="J51" s="7" t="s">
        <v>53</v>
      </c>
      <c r="K51" s="7" t="s">
        <v>402</v>
      </c>
      <c r="L51" s="61">
        <v>0.95</v>
      </c>
      <c r="M51" s="61" t="s">
        <v>420</v>
      </c>
      <c r="N51" s="6"/>
      <c r="O51" s="51">
        <v>67.396100000000004</v>
      </c>
      <c r="P51" s="52">
        <v>8316.07</v>
      </c>
      <c r="Q51" s="62" t="s">
        <v>731</v>
      </c>
    </row>
    <row r="52" spans="1:17" s="49" customFormat="1" ht="12.75">
      <c r="A52" s="97"/>
      <c r="B52" s="6"/>
      <c r="C52" s="13">
        <f>328/43738</f>
        <v>7.4991997805112258E-3</v>
      </c>
      <c r="D52" s="6"/>
      <c r="E52" s="3"/>
      <c r="F52" s="6">
        <v>64596</v>
      </c>
      <c r="G52" s="6" t="s">
        <v>22</v>
      </c>
      <c r="H52" s="60">
        <v>800</v>
      </c>
      <c r="I52" s="61">
        <v>51</v>
      </c>
      <c r="J52" s="7" t="s">
        <v>53</v>
      </c>
      <c r="K52" s="7" t="s">
        <v>402</v>
      </c>
      <c r="L52" s="61">
        <v>0.72</v>
      </c>
      <c r="M52" s="61" t="s">
        <v>421</v>
      </c>
      <c r="N52" s="6"/>
      <c r="O52" s="51">
        <v>49.503900000000002</v>
      </c>
      <c r="P52" s="52">
        <v>8059.61</v>
      </c>
      <c r="Q52" s="62" t="s">
        <v>731</v>
      </c>
    </row>
    <row r="53" spans="1:17" s="49" customFormat="1" ht="12.75">
      <c r="A53" s="97"/>
      <c r="B53" s="6"/>
      <c r="C53" s="6"/>
      <c r="D53" s="6"/>
      <c r="E53" s="3"/>
      <c r="F53" s="6">
        <v>64425</v>
      </c>
      <c r="G53" s="6" t="s">
        <v>25</v>
      </c>
      <c r="H53" s="60">
        <v>1000</v>
      </c>
      <c r="I53" s="61">
        <v>63</v>
      </c>
      <c r="J53" s="7" t="s">
        <v>53</v>
      </c>
      <c r="K53" s="7" t="s">
        <v>402</v>
      </c>
      <c r="L53" s="61">
        <v>0.84</v>
      </c>
      <c r="M53" s="61" t="s">
        <v>422</v>
      </c>
      <c r="N53" s="6"/>
      <c r="O53" s="51">
        <v>59.801000000000002</v>
      </c>
      <c r="P53" s="52">
        <v>8345.19</v>
      </c>
      <c r="Q53" s="62" t="s">
        <v>731</v>
      </c>
    </row>
    <row r="54" spans="1:17" s="49" customFormat="1" ht="12.75">
      <c r="A54" s="97"/>
      <c r="B54" s="6"/>
      <c r="C54" s="6"/>
      <c r="D54" s="6"/>
      <c r="E54" s="3"/>
      <c r="F54" s="6">
        <v>64112</v>
      </c>
      <c r="G54" s="6" t="s">
        <v>67</v>
      </c>
      <c r="H54" s="60">
        <v>1400</v>
      </c>
      <c r="I54" s="61">
        <v>70</v>
      </c>
      <c r="J54" s="7" t="s">
        <v>53</v>
      </c>
      <c r="K54" s="7" t="s">
        <v>402</v>
      </c>
      <c r="L54" s="61">
        <v>0.88</v>
      </c>
      <c r="M54" s="61" t="s">
        <v>423</v>
      </c>
      <c r="N54" s="6"/>
      <c r="O54" s="51">
        <v>65.224999999999994</v>
      </c>
      <c r="P54" s="52">
        <v>8688.3799999999992</v>
      </c>
      <c r="Q54" s="62" t="s">
        <v>731</v>
      </c>
    </row>
    <row r="55" spans="1:17" s="18" customFormat="1" ht="12.75">
      <c r="A55" s="96" t="s">
        <v>745</v>
      </c>
      <c r="B55" s="35" t="s">
        <v>137</v>
      </c>
      <c r="C55" s="35" t="s">
        <v>413</v>
      </c>
      <c r="D55" s="35" t="s">
        <v>33</v>
      </c>
      <c r="E55" s="30">
        <v>8</v>
      </c>
      <c r="F55" s="35">
        <v>74224</v>
      </c>
      <c r="G55" s="35" t="s">
        <v>14</v>
      </c>
      <c r="H55" s="41" t="s">
        <v>474</v>
      </c>
      <c r="I55" s="44">
        <v>127</v>
      </c>
      <c r="J55" s="22" t="s">
        <v>53</v>
      </c>
      <c r="K55" s="22" t="s">
        <v>402</v>
      </c>
      <c r="L55" s="44">
        <v>1</v>
      </c>
      <c r="M55" s="44" t="s">
        <v>21</v>
      </c>
      <c r="N55" s="35">
        <v>0.09</v>
      </c>
      <c r="O55" s="54">
        <v>89.309299999999993</v>
      </c>
      <c r="P55" s="55">
        <v>6033.44</v>
      </c>
      <c r="Q55" s="57" t="s">
        <v>731</v>
      </c>
    </row>
    <row r="56" spans="1:17" s="18" customFormat="1" ht="12.75">
      <c r="A56" s="96"/>
      <c r="B56" s="35"/>
      <c r="C56" s="35" t="s">
        <v>475</v>
      </c>
      <c r="D56" s="35"/>
      <c r="E56" s="30"/>
      <c r="F56" s="35">
        <v>74497</v>
      </c>
      <c r="G56" s="35" t="s">
        <v>20</v>
      </c>
      <c r="H56" s="41" t="s">
        <v>476</v>
      </c>
      <c r="I56" s="44">
        <v>84</v>
      </c>
      <c r="J56" s="22" t="s">
        <v>53</v>
      </c>
      <c r="K56" s="22" t="s">
        <v>402</v>
      </c>
      <c r="L56" s="44">
        <v>0.62</v>
      </c>
      <c r="M56" s="44" t="s">
        <v>477</v>
      </c>
      <c r="N56" s="35"/>
      <c r="O56" s="54">
        <v>64.792900000000003</v>
      </c>
      <c r="P56" s="55">
        <v>7059.99</v>
      </c>
      <c r="Q56" s="57" t="s">
        <v>731</v>
      </c>
    </row>
    <row r="57" spans="1:17" s="18" customFormat="1" ht="12.75">
      <c r="A57" s="96"/>
      <c r="B57" s="35"/>
      <c r="C57" s="59">
        <f>387/34486</f>
        <v>1.1221945137157107E-2</v>
      </c>
      <c r="D57" s="35"/>
      <c r="E57" s="30"/>
      <c r="F57" s="35">
        <v>74588</v>
      </c>
      <c r="G57" s="35" t="s">
        <v>22</v>
      </c>
      <c r="H57" s="41" t="s">
        <v>478</v>
      </c>
      <c r="I57" s="44">
        <v>94</v>
      </c>
      <c r="J57" s="22" t="s">
        <v>53</v>
      </c>
      <c r="K57" s="22" t="s">
        <v>402</v>
      </c>
      <c r="L57" s="44">
        <v>0.75</v>
      </c>
      <c r="M57" s="44" t="s">
        <v>479</v>
      </c>
      <c r="N57" s="35"/>
      <c r="O57" s="54">
        <v>67.799499999999995</v>
      </c>
      <c r="P57" s="55">
        <v>6107.08</v>
      </c>
      <c r="Q57" s="57" t="s">
        <v>731</v>
      </c>
    </row>
    <row r="58" spans="1:17" s="18" customFormat="1" ht="12.75">
      <c r="A58" s="96"/>
      <c r="B58" s="35"/>
      <c r="C58" s="35"/>
      <c r="D58" s="35"/>
      <c r="E58" s="30"/>
      <c r="F58" s="35">
        <v>74570</v>
      </c>
      <c r="G58" s="35" t="s">
        <v>25</v>
      </c>
      <c r="H58" s="41" t="s">
        <v>480</v>
      </c>
      <c r="I58" s="44">
        <v>82</v>
      </c>
      <c r="J58" s="22" t="s">
        <v>53</v>
      </c>
      <c r="K58" s="22" t="s">
        <v>402</v>
      </c>
      <c r="L58" s="44">
        <v>0.67</v>
      </c>
      <c r="M58" s="44" t="s">
        <v>481</v>
      </c>
      <c r="N58" s="35"/>
      <c r="O58" s="54">
        <v>48.926000000000002</v>
      </c>
      <c r="P58" s="55">
        <v>4933.25</v>
      </c>
      <c r="Q58" s="57" t="s">
        <v>731</v>
      </c>
    </row>
    <row r="59" spans="1:17" s="18" customFormat="1" ht="12.75">
      <c r="A59" s="96"/>
      <c r="B59" s="35" t="s">
        <v>137</v>
      </c>
      <c r="C59" s="35" t="s">
        <v>413</v>
      </c>
      <c r="D59" s="35" t="s">
        <v>13</v>
      </c>
      <c r="E59" s="30">
        <v>8</v>
      </c>
      <c r="F59" s="35">
        <v>74224</v>
      </c>
      <c r="G59" s="35" t="s">
        <v>14</v>
      </c>
      <c r="H59" s="41" t="s">
        <v>474</v>
      </c>
      <c r="I59" s="44">
        <v>127</v>
      </c>
      <c r="J59" s="22" t="s">
        <v>53</v>
      </c>
      <c r="K59" s="22" t="s">
        <v>402</v>
      </c>
      <c r="L59" s="22">
        <v>1</v>
      </c>
      <c r="M59" s="22" t="s">
        <v>37</v>
      </c>
      <c r="N59" s="35">
        <v>0.14000000000000001</v>
      </c>
      <c r="O59" s="54">
        <v>75.311999999999998</v>
      </c>
      <c r="P59" s="55">
        <v>5929.22</v>
      </c>
      <c r="Q59" s="57" t="s">
        <v>731</v>
      </c>
    </row>
    <row r="60" spans="1:17" s="18" customFormat="1" ht="12.75">
      <c r="A60" s="96"/>
      <c r="B60" s="35"/>
      <c r="C60" s="35" t="s">
        <v>475</v>
      </c>
      <c r="D60" s="35"/>
      <c r="E60" s="30"/>
      <c r="F60" s="35">
        <v>74497</v>
      </c>
      <c r="G60" s="35" t="s">
        <v>20</v>
      </c>
      <c r="H60" s="41" t="s">
        <v>476</v>
      </c>
      <c r="I60" s="44">
        <v>84</v>
      </c>
      <c r="J60" s="22" t="s">
        <v>53</v>
      </c>
      <c r="K60" s="22" t="s">
        <v>402</v>
      </c>
      <c r="L60" s="22">
        <v>0.92</v>
      </c>
      <c r="M60" s="22" t="s">
        <v>726</v>
      </c>
      <c r="N60" s="35"/>
      <c r="O60" s="54">
        <v>89.75</v>
      </c>
      <c r="P60" s="63">
        <v>7680.3</v>
      </c>
      <c r="Q60" s="57" t="s">
        <v>731</v>
      </c>
    </row>
    <row r="61" spans="1:17" s="18" customFormat="1" ht="12.75">
      <c r="A61" s="96"/>
      <c r="B61" s="35"/>
      <c r="C61" s="59">
        <f>387/34486</f>
        <v>1.1221945137157107E-2</v>
      </c>
      <c r="D61" s="35"/>
      <c r="E61" s="30"/>
      <c r="F61" s="35">
        <v>74588</v>
      </c>
      <c r="G61" s="35" t="s">
        <v>22</v>
      </c>
      <c r="H61" s="41" t="s">
        <v>478</v>
      </c>
      <c r="I61" s="44">
        <v>94</v>
      </c>
      <c r="J61" s="22" t="s">
        <v>53</v>
      </c>
      <c r="K61" s="22" t="s">
        <v>402</v>
      </c>
      <c r="L61" s="22">
        <v>0.81</v>
      </c>
      <c r="M61" s="22" t="s">
        <v>482</v>
      </c>
      <c r="N61" s="35"/>
      <c r="O61" s="54">
        <v>56.984000000000002</v>
      </c>
      <c r="P61" s="55">
        <v>5538.59</v>
      </c>
      <c r="Q61" s="57" t="s">
        <v>731</v>
      </c>
    </row>
    <row r="62" spans="1:17" s="18" customFormat="1" ht="12.75">
      <c r="A62" s="96"/>
      <c r="B62" s="35"/>
      <c r="C62" s="35"/>
      <c r="D62" s="35"/>
      <c r="E62" s="30"/>
      <c r="F62" s="35">
        <v>74570</v>
      </c>
      <c r="G62" s="35" t="s">
        <v>25</v>
      </c>
      <c r="H62" s="41" t="s">
        <v>480</v>
      </c>
      <c r="I62" s="44">
        <v>82</v>
      </c>
      <c r="J62" s="22" t="s">
        <v>53</v>
      </c>
      <c r="K62" s="22" t="s">
        <v>402</v>
      </c>
      <c r="L62" s="22">
        <v>0.76</v>
      </c>
      <c r="M62" s="22" t="s">
        <v>483</v>
      </c>
      <c r="N62" s="35"/>
      <c r="O62" s="54">
        <v>44.103999999999999</v>
      </c>
      <c r="P62" s="55">
        <v>4568.7700000000004</v>
      </c>
      <c r="Q62" s="57" t="s">
        <v>731</v>
      </c>
    </row>
    <row r="63" spans="1:17" s="18" customFormat="1" ht="12.75">
      <c r="A63" s="96"/>
      <c r="B63" s="35" t="s">
        <v>137</v>
      </c>
      <c r="C63" s="35" t="s">
        <v>413</v>
      </c>
      <c r="D63" s="35" t="s">
        <v>484</v>
      </c>
      <c r="E63" s="30">
        <v>8</v>
      </c>
      <c r="F63" s="35">
        <v>74224</v>
      </c>
      <c r="G63" s="35" t="s">
        <v>431</v>
      </c>
      <c r="H63" s="41" t="s">
        <v>474</v>
      </c>
      <c r="I63" s="44">
        <v>127</v>
      </c>
      <c r="J63" s="22" t="s">
        <v>53</v>
      </c>
      <c r="K63" s="22" t="s">
        <v>402</v>
      </c>
      <c r="L63" s="22">
        <v>1</v>
      </c>
      <c r="M63" s="22" t="s">
        <v>37</v>
      </c>
      <c r="N63" s="35">
        <v>0.46</v>
      </c>
      <c r="O63" s="57" t="s">
        <v>731</v>
      </c>
      <c r="P63" s="57" t="s">
        <v>731</v>
      </c>
      <c r="Q63" s="57" t="s">
        <v>731</v>
      </c>
    </row>
    <row r="64" spans="1:17" s="18" customFormat="1" ht="12.75">
      <c r="A64" s="96"/>
      <c r="B64" s="35"/>
      <c r="C64" s="35" t="s">
        <v>475</v>
      </c>
      <c r="D64" s="35"/>
      <c r="E64" s="30"/>
      <c r="F64" s="35">
        <v>74497</v>
      </c>
      <c r="G64" s="35" t="s">
        <v>432</v>
      </c>
      <c r="H64" s="41" t="s">
        <v>476</v>
      </c>
      <c r="I64" s="44">
        <v>84</v>
      </c>
      <c r="J64" s="22" t="s">
        <v>53</v>
      </c>
      <c r="K64" s="22" t="s">
        <v>402</v>
      </c>
      <c r="L64" s="22">
        <v>0.76</v>
      </c>
      <c r="M64" s="22" t="s">
        <v>485</v>
      </c>
      <c r="N64" s="35"/>
      <c r="O64" s="57" t="s">
        <v>731</v>
      </c>
      <c r="P64" s="57" t="s">
        <v>731</v>
      </c>
      <c r="Q64" s="57" t="s">
        <v>731</v>
      </c>
    </row>
    <row r="65" spans="1:17" s="18" customFormat="1" ht="12.75">
      <c r="A65" s="96"/>
      <c r="B65" s="35"/>
      <c r="C65" s="59">
        <f>387/34486</f>
        <v>1.1221945137157107E-2</v>
      </c>
      <c r="D65" s="35"/>
      <c r="E65" s="30"/>
      <c r="F65" s="35">
        <v>74588</v>
      </c>
      <c r="G65" s="35" t="s">
        <v>433</v>
      </c>
      <c r="H65" s="41" t="s">
        <v>478</v>
      </c>
      <c r="I65" s="44">
        <v>94</v>
      </c>
      <c r="J65" s="22" t="s">
        <v>53</v>
      </c>
      <c r="K65" s="22" t="s">
        <v>402</v>
      </c>
      <c r="L65" s="22">
        <v>0.88</v>
      </c>
      <c r="M65" s="22" t="s">
        <v>486</v>
      </c>
      <c r="N65" s="35"/>
      <c r="O65" s="57" t="s">
        <v>731</v>
      </c>
      <c r="P65" s="57" t="s">
        <v>731</v>
      </c>
      <c r="Q65" s="57" t="s">
        <v>731</v>
      </c>
    </row>
    <row r="66" spans="1:17" s="49" customFormat="1" ht="12.75">
      <c r="A66" s="97" t="s">
        <v>741</v>
      </c>
      <c r="B66" s="6" t="s">
        <v>329</v>
      </c>
      <c r="C66" s="6" t="s">
        <v>12</v>
      </c>
      <c r="D66" s="6" t="s">
        <v>13</v>
      </c>
      <c r="E66" s="3">
        <v>16</v>
      </c>
      <c r="F66" s="6" t="s">
        <v>18</v>
      </c>
      <c r="G66" s="6" t="s">
        <v>431</v>
      </c>
      <c r="H66" s="3" t="s">
        <v>381</v>
      </c>
      <c r="I66" s="6" t="s">
        <v>18</v>
      </c>
      <c r="J66" s="49" t="s">
        <v>18</v>
      </c>
      <c r="K66" s="49" t="s">
        <v>23</v>
      </c>
      <c r="L66" s="6">
        <v>1</v>
      </c>
      <c r="M66" s="6" t="s">
        <v>303</v>
      </c>
      <c r="N66" s="6">
        <v>0.03</v>
      </c>
      <c r="O66" s="51">
        <v>12.8721</v>
      </c>
      <c r="P66" s="62" t="s">
        <v>731</v>
      </c>
      <c r="Q66" s="52">
        <v>2868.85</v>
      </c>
    </row>
    <row r="67" spans="1:17" s="49" customFormat="1" ht="12.75">
      <c r="A67" s="97"/>
      <c r="B67" s="6"/>
      <c r="C67" s="6" t="s">
        <v>382</v>
      </c>
      <c r="D67" s="6"/>
      <c r="E67" s="3"/>
      <c r="F67" s="6" t="s">
        <v>18</v>
      </c>
      <c r="G67" s="6" t="s">
        <v>432</v>
      </c>
      <c r="H67" s="3" t="s">
        <v>383</v>
      </c>
      <c r="I67" s="6" t="s">
        <v>18</v>
      </c>
      <c r="J67" s="49" t="s">
        <v>18</v>
      </c>
      <c r="K67" s="49" t="s">
        <v>23</v>
      </c>
      <c r="L67" s="6">
        <v>0.27</v>
      </c>
      <c r="M67" s="6" t="s">
        <v>384</v>
      </c>
      <c r="N67" s="6"/>
      <c r="O67" s="51">
        <v>5.3448000000000002</v>
      </c>
      <c r="P67" s="62" t="s">
        <v>731</v>
      </c>
      <c r="Q67" s="52">
        <v>4411.87</v>
      </c>
    </row>
    <row r="68" spans="1:17" s="49" customFormat="1" ht="12.75">
      <c r="A68" s="97"/>
      <c r="B68" s="6"/>
      <c r="C68" s="9">
        <f>61/1529</f>
        <v>3.9895356442119029E-2</v>
      </c>
      <c r="D68" s="9"/>
      <c r="E68" s="3"/>
      <c r="F68" s="6" t="s">
        <v>18</v>
      </c>
      <c r="G68" s="6" t="s">
        <v>433</v>
      </c>
      <c r="H68" s="3" t="s">
        <v>385</v>
      </c>
      <c r="I68" s="6" t="s">
        <v>18</v>
      </c>
      <c r="J68" s="49" t="s">
        <v>18</v>
      </c>
      <c r="K68" s="49" t="s">
        <v>23</v>
      </c>
      <c r="L68" s="6">
        <v>0.99</v>
      </c>
      <c r="M68" s="6" t="s">
        <v>386</v>
      </c>
      <c r="N68" s="6"/>
      <c r="O68" s="51">
        <v>6.2426000000000004</v>
      </c>
      <c r="P68" s="62" t="s">
        <v>731</v>
      </c>
      <c r="Q68" s="52">
        <v>1405.36</v>
      </c>
    </row>
    <row r="69" spans="1:17" s="49" customFormat="1" ht="12.75">
      <c r="A69" s="97"/>
      <c r="B69" s="6" t="s">
        <v>329</v>
      </c>
      <c r="C69" s="6" t="s">
        <v>387</v>
      </c>
      <c r="D69" s="6" t="s">
        <v>33</v>
      </c>
      <c r="E69" s="3">
        <v>16</v>
      </c>
      <c r="F69" s="6" t="s">
        <v>92</v>
      </c>
      <c r="G69" s="6" t="s">
        <v>434</v>
      </c>
      <c r="H69" s="3" t="s">
        <v>388</v>
      </c>
      <c r="I69" s="6" t="s">
        <v>53</v>
      </c>
      <c r="J69" s="6" t="s">
        <v>18</v>
      </c>
      <c r="K69" s="6" t="s">
        <v>23</v>
      </c>
      <c r="L69" s="6">
        <v>1</v>
      </c>
      <c r="M69" s="6" t="s">
        <v>21</v>
      </c>
      <c r="N69" s="6">
        <v>0.06</v>
      </c>
      <c r="O69" s="51">
        <v>11.273300000000001</v>
      </c>
      <c r="P69" s="62" t="s">
        <v>731</v>
      </c>
      <c r="Q69" s="52">
        <v>3023.93</v>
      </c>
    </row>
    <row r="70" spans="1:17" s="49" customFormat="1" ht="12.75">
      <c r="A70" s="97"/>
      <c r="B70" s="6"/>
      <c r="C70" s="6" t="s">
        <v>389</v>
      </c>
      <c r="D70" s="6"/>
      <c r="E70" s="3"/>
      <c r="F70" s="6" t="s">
        <v>18</v>
      </c>
      <c r="G70" s="6" t="s">
        <v>432</v>
      </c>
      <c r="H70" s="3" t="s">
        <v>390</v>
      </c>
      <c r="I70" s="6" t="s">
        <v>53</v>
      </c>
      <c r="J70" s="6" t="s">
        <v>18</v>
      </c>
      <c r="K70" s="6" t="s">
        <v>23</v>
      </c>
      <c r="L70" s="6">
        <v>0.41</v>
      </c>
      <c r="M70" s="6" t="s">
        <v>391</v>
      </c>
      <c r="N70" s="6"/>
      <c r="O70" s="51">
        <v>7.0326000000000004</v>
      </c>
      <c r="P70" s="62" t="s">
        <v>731</v>
      </c>
      <c r="Q70" s="52">
        <v>4600.96</v>
      </c>
    </row>
    <row r="71" spans="1:17" s="49" customFormat="1" ht="12.75">
      <c r="A71" s="97"/>
      <c r="B71" s="6"/>
      <c r="C71" s="9">
        <f>61/1529</f>
        <v>3.9895356442119029E-2</v>
      </c>
      <c r="D71" s="6"/>
      <c r="E71" s="3"/>
      <c r="F71" s="6" t="s">
        <v>18</v>
      </c>
      <c r="G71" s="6" t="s">
        <v>433</v>
      </c>
      <c r="H71" s="3" t="s">
        <v>392</v>
      </c>
      <c r="I71" s="6" t="s">
        <v>53</v>
      </c>
      <c r="J71" s="6" t="s">
        <v>18</v>
      </c>
      <c r="K71" s="6" t="s">
        <v>23</v>
      </c>
      <c r="L71" s="6">
        <v>1.31</v>
      </c>
      <c r="M71" s="6" t="s">
        <v>393</v>
      </c>
      <c r="N71" s="6"/>
      <c r="O71" s="51">
        <v>7.4756999999999998</v>
      </c>
      <c r="P71" s="62" t="s">
        <v>731</v>
      </c>
      <c r="Q71" s="52">
        <v>1530.74</v>
      </c>
    </row>
    <row r="72" spans="1:17" s="49" customFormat="1" ht="12.75">
      <c r="A72" s="96" t="s">
        <v>739</v>
      </c>
      <c r="B72" s="18" t="s">
        <v>329</v>
      </c>
      <c r="C72" s="18" t="s">
        <v>32</v>
      </c>
      <c r="D72" s="18" t="s">
        <v>33</v>
      </c>
      <c r="E72" s="20">
        <v>9.1</v>
      </c>
      <c r="F72" s="18">
        <v>6735</v>
      </c>
      <c r="G72" s="18" t="s">
        <v>14</v>
      </c>
      <c r="H72" s="20" t="s">
        <v>339</v>
      </c>
      <c r="I72" s="18">
        <v>32</v>
      </c>
      <c r="J72" s="18" t="s">
        <v>18</v>
      </c>
      <c r="K72" s="18" t="s">
        <v>23</v>
      </c>
      <c r="L72" s="18">
        <v>1</v>
      </c>
      <c r="M72" s="18" t="s">
        <v>37</v>
      </c>
      <c r="N72" s="18">
        <v>0.34599999999999997</v>
      </c>
      <c r="O72" s="56">
        <v>31.045300000000001</v>
      </c>
      <c r="P72" s="57" t="s">
        <v>731</v>
      </c>
      <c r="Q72" s="58">
        <v>6127</v>
      </c>
    </row>
    <row r="73" spans="1:17" s="49" customFormat="1" ht="12.75">
      <c r="A73" s="96"/>
      <c r="B73" s="18"/>
      <c r="C73" s="18" t="s">
        <v>335</v>
      </c>
      <c r="D73" s="18"/>
      <c r="E73" s="20"/>
      <c r="F73" s="18">
        <v>6772</v>
      </c>
      <c r="G73" s="18" t="s">
        <v>20</v>
      </c>
      <c r="H73" s="20" t="s">
        <v>340</v>
      </c>
      <c r="I73" s="18">
        <v>28</v>
      </c>
      <c r="J73" s="18" t="s">
        <v>18</v>
      </c>
      <c r="K73" s="18" t="s">
        <v>23</v>
      </c>
      <c r="L73" s="18">
        <v>0.77</v>
      </c>
      <c r="M73" s="18" t="s">
        <v>336</v>
      </c>
      <c r="N73" s="18"/>
      <c r="O73" s="56">
        <v>26.081099999999999</v>
      </c>
      <c r="P73" s="57" t="s">
        <v>731</v>
      </c>
      <c r="Q73" s="58">
        <v>6684.76</v>
      </c>
    </row>
    <row r="74" spans="1:17" s="49" customFormat="1" ht="12.75">
      <c r="A74" s="96"/>
      <c r="B74" s="18"/>
      <c r="C74" s="19">
        <f>114/3139</f>
        <v>3.6317298502707866E-2</v>
      </c>
      <c r="D74" s="19"/>
      <c r="E74" s="20"/>
      <c r="F74" s="18">
        <v>6896</v>
      </c>
      <c r="G74" s="18" t="s">
        <v>22</v>
      </c>
      <c r="H74" s="20" t="s">
        <v>341</v>
      </c>
      <c r="I74" s="18">
        <v>28</v>
      </c>
      <c r="J74" s="18" t="s">
        <v>18</v>
      </c>
      <c r="K74" s="18" t="s">
        <v>23</v>
      </c>
      <c r="L74" s="18">
        <v>0.78</v>
      </c>
      <c r="M74" s="18" t="s">
        <v>337</v>
      </c>
      <c r="N74" s="18"/>
      <c r="O74" s="56">
        <v>24.110800000000001</v>
      </c>
      <c r="P74" s="57" t="s">
        <v>731</v>
      </c>
      <c r="Q74" s="58">
        <v>6100.54</v>
      </c>
    </row>
    <row r="75" spans="1:17" s="49" customFormat="1" ht="12.75">
      <c r="A75" s="96"/>
      <c r="B75" s="18"/>
      <c r="C75" s="18"/>
      <c r="D75" s="18"/>
      <c r="E75" s="20"/>
      <c r="F75" s="18">
        <v>6886</v>
      </c>
      <c r="G75" s="18" t="s">
        <v>25</v>
      </c>
      <c r="H75" s="20" t="s">
        <v>342</v>
      </c>
      <c r="I75" s="18">
        <v>26</v>
      </c>
      <c r="J75" s="18" t="s">
        <v>18</v>
      </c>
      <c r="K75" s="18" t="s">
        <v>183</v>
      </c>
      <c r="L75" s="18">
        <v>0.75</v>
      </c>
      <c r="M75" s="18" t="s">
        <v>338</v>
      </c>
      <c r="N75" s="18"/>
      <c r="O75" s="56">
        <v>22.471399999999999</v>
      </c>
      <c r="P75" s="57" t="s">
        <v>731</v>
      </c>
      <c r="Q75" s="58">
        <v>5913.18</v>
      </c>
    </row>
    <row r="76" spans="1:17" s="49" customFormat="1" ht="12.75">
      <c r="A76" s="97" t="s">
        <v>754</v>
      </c>
      <c r="B76" s="1" t="s">
        <v>137</v>
      </c>
      <c r="C76" s="1" t="s">
        <v>387</v>
      </c>
      <c r="D76" s="1" t="s">
        <v>13</v>
      </c>
      <c r="E76" s="2" t="s">
        <v>53</v>
      </c>
      <c r="F76" s="4">
        <v>349874.66</v>
      </c>
      <c r="G76" s="4" t="s">
        <v>706</v>
      </c>
      <c r="H76" s="3">
        <v>310.97000000000003</v>
      </c>
      <c r="I76" s="6">
        <v>649</v>
      </c>
      <c r="J76" s="6" t="s">
        <v>707</v>
      </c>
      <c r="K76" s="3" t="s">
        <v>16</v>
      </c>
      <c r="L76" s="6">
        <v>1</v>
      </c>
      <c r="M76" s="6" t="s">
        <v>21</v>
      </c>
      <c r="N76" s="4">
        <v>0.56999999999999995</v>
      </c>
      <c r="O76" s="51">
        <v>243.953</v>
      </c>
      <c r="P76" s="62" t="s">
        <v>731</v>
      </c>
      <c r="Q76" s="52">
        <v>175486.67</v>
      </c>
    </row>
    <row r="77" spans="1:17" s="49" customFormat="1" ht="12.75">
      <c r="A77" s="97"/>
      <c r="B77" s="1"/>
      <c r="C77" s="1" t="s">
        <v>708</v>
      </c>
      <c r="D77" s="1"/>
      <c r="E77" s="2"/>
      <c r="F77" s="4">
        <v>281646.46999999997</v>
      </c>
      <c r="G77" s="4" t="s">
        <v>709</v>
      </c>
      <c r="H77" s="3">
        <v>493.36</v>
      </c>
      <c r="I77" s="6">
        <v>321</v>
      </c>
      <c r="J77" s="6" t="s">
        <v>707</v>
      </c>
      <c r="K77" s="3" t="s">
        <v>16</v>
      </c>
      <c r="L77" s="6">
        <v>1.03</v>
      </c>
      <c r="M77" s="6" t="s">
        <v>690</v>
      </c>
      <c r="N77" s="4"/>
      <c r="O77" s="51">
        <v>258.43299999999999</v>
      </c>
      <c r="P77" s="62" t="s">
        <v>731</v>
      </c>
      <c r="Q77" s="52">
        <v>180488.32000000001</v>
      </c>
    </row>
    <row r="78" spans="1:17" s="49" customFormat="1" ht="12.75">
      <c r="A78" s="97"/>
      <c r="B78" s="1"/>
      <c r="C78" s="64"/>
      <c r="D78" s="1"/>
      <c r="E78" s="2"/>
      <c r="F78" s="4">
        <v>175026.49</v>
      </c>
      <c r="G78" s="4" t="s">
        <v>710</v>
      </c>
      <c r="H78" s="3">
        <v>726.9</v>
      </c>
      <c r="I78" s="6">
        <v>177</v>
      </c>
      <c r="J78" s="6" t="s">
        <v>707</v>
      </c>
      <c r="K78" s="3" t="s">
        <v>16</v>
      </c>
      <c r="L78" s="6">
        <v>1.08</v>
      </c>
      <c r="M78" s="6" t="s">
        <v>691</v>
      </c>
      <c r="N78" s="4"/>
      <c r="O78" s="51">
        <v>72.914000000000001</v>
      </c>
      <c r="P78" s="62" t="s">
        <v>731</v>
      </c>
      <c r="Q78" s="52">
        <v>48565.22</v>
      </c>
    </row>
    <row r="79" spans="1:17" s="49" customFormat="1" ht="12.75">
      <c r="A79" s="97"/>
      <c r="B79" s="1" t="s">
        <v>137</v>
      </c>
      <c r="C79" s="1" t="s">
        <v>557</v>
      </c>
      <c r="D79" s="1" t="s">
        <v>13</v>
      </c>
      <c r="E79" s="2" t="s">
        <v>54</v>
      </c>
      <c r="F79" s="4">
        <v>349874.66</v>
      </c>
      <c r="G79" s="4" t="s">
        <v>706</v>
      </c>
      <c r="H79" s="3">
        <v>310.97000000000003</v>
      </c>
      <c r="I79" s="6">
        <v>284</v>
      </c>
      <c r="J79" s="6" t="s">
        <v>707</v>
      </c>
      <c r="K79" s="3" t="s">
        <v>16</v>
      </c>
      <c r="L79" s="6">
        <v>1</v>
      </c>
      <c r="M79" s="6" t="s">
        <v>21</v>
      </c>
      <c r="N79" s="4">
        <v>0.84</v>
      </c>
      <c r="O79" s="62" t="s">
        <v>731</v>
      </c>
      <c r="P79" s="62" t="s">
        <v>731</v>
      </c>
      <c r="Q79" s="62" t="s">
        <v>731</v>
      </c>
    </row>
    <row r="80" spans="1:17" s="49" customFormat="1" ht="12.75">
      <c r="A80" s="97"/>
      <c r="B80" s="1"/>
      <c r="C80" s="1" t="s">
        <v>711</v>
      </c>
      <c r="D80" s="1"/>
      <c r="E80" s="2"/>
      <c r="F80" s="4">
        <v>281646.46999999997</v>
      </c>
      <c r="G80" s="4" t="s">
        <v>709</v>
      </c>
      <c r="H80" s="3">
        <v>493.36</v>
      </c>
      <c r="I80" s="6">
        <v>148</v>
      </c>
      <c r="J80" s="6" t="s">
        <v>707</v>
      </c>
      <c r="K80" s="3" t="s">
        <v>16</v>
      </c>
      <c r="L80" s="6">
        <v>1.02</v>
      </c>
      <c r="M80" s="6" t="s">
        <v>692</v>
      </c>
      <c r="N80" s="4"/>
      <c r="O80" s="62" t="s">
        <v>731</v>
      </c>
      <c r="P80" s="62" t="s">
        <v>731</v>
      </c>
      <c r="Q80" s="62" t="s">
        <v>731</v>
      </c>
    </row>
    <row r="81" spans="1:17" s="49" customFormat="1" ht="12.75">
      <c r="A81" s="97"/>
      <c r="B81" s="1"/>
      <c r="C81" s="64"/>
      <c r="D81" s="1"/>
      <c r="E81" s="2"/>
      <c r="F81" s="4">
        <v>175026.49</v>
      </c>
      <c r="G81" s="4" t="s">
        <v>710</v>
      </c>
      <c r="H81" s="3">
        <v>726.9</v>
      </c>
      <c r="I81" s="6">
        <v>79</v>
      </c>
      <c r="J81" s="6" t="s">
        <v>707</v>
      </c>
      <c r="K81" s="3" t="s">
        <v>16</v>
      </c>
      <c r="L81" s="6">
        <v>1.04</v>
      </c>
      <c r="M81" s="6" t="s">
        <v>693</v>
      </c>
      <c r="N81" s="4"/>
      <c r="O81" s="62" t="s">
        <v>731</v>
      </c>
      <c r="P81" s="62" t="s">
        <v>731</v>
      </c>
      <c r="Q81" s="62" t="s">
        <v>731</v>
      </c>
    </row>
    <row r="82" spans="1:17" s="49" customFormat="1" ht="15">
      <c r="A82" s="97"/>
      <c r="B82" s="1" t="s">
        <v>712</v>
      </c>
      <c r="C82" s="65" t="s">
        <v>551</v>
      </c>
      <c r="D82" s="65" t="s">
        <v>56</v>
      </c>
      <c r="E82" s="2" t="s">
        <v>54</v>
      </c>
      <c r="F82" s="4">
        <v>349874.66</v>
      </c>
      <c r="G82" s="4" t="s">
        <v>706</v>
      </c>
      <c r="H82" s="3">
        <v>310.97000000000003</v>
      </c>
      <c r="I82" s="7">
        <v>365</v>
      </c>
      <c r="J82" s="7" t="s">
        <v>707</v>
      </c>
      <c r="K82" s="3" t="s">
        <v>16</v>
      </c>
      <c r="L82" s="7">
        <v>1</v>
      </c>
      <c r="M82" s="7" t="s">
        <v>21</v>
      </c>
      <c r="N82" s="4">
        <v>0.59</v>
      </c>
      <c r="O82" s="51">
        <v>129.78800000000001</v>
      </c>
      <c r="P82" s="62" t="s">
        <v>731</v>
      </c>
      <c r="Q82" s="52">
        <v>169027.42</v>
      </c>
    </row>
    <row r="83" spans="1:17" s="49" customFormat="1" ht="15">
      <c r="A83" s="97"/>
      <c r="B83" s="1"/>
      <c r="C83" s="65" t="s">
        <v>713</v>
      </c>
      <c r="D83" s="65"/>
      <c r="E83" s="2"/>
      <c r="F83" s="4">
        <v>281646.46999999997</v>
      </c>
      <c r="G83" s="4" t="s">
        <v>709</v>
      </c>
      <c r="H83" s="3">
        <v>493.36</v>
      </c>
      <c r="I83" s="7">
        <v>173</v>
      </c>
      <c r="J83" s="6" t="s">
        <v>707</v>
      </c>
      <c r="K83" s="3" t="s">
        <v>16</v>
      </c>
      <c r="L83" s="7">
        <v>1.03</v>
      </c>
      <c r="M83" s="7" t="s">
        <v>697</v>
      </c>
      <c r="N83" s="4"/>
      <c r="O83" s="51">
        <v>136.09299999999999</v>
      </c>
      <c r="P83" s="62" t="s">
        <v>731</v>
      </c>
      <c r="Q83" s="52">
        <v>172076.63</v>
      </c>
    </row>
    <row r="84" spans="1:17" s="49" customFormat="1" ht="15">
      <c r="A84" s="97"/>
      <c r="B84" s="1"/>
      <c r="C84" s="66"/>
      <c r="D84" s="65"/>
      <c r="E84" s="2"/>
      <c r="F84" s="4">
        <v>175026.49</v>
      </c>
      <c r="G84" s="4" t="s">
        <v>710</v>
      </c>
      <c r="H84" s="3">
        <v>726.9</v>
      </c>
      <c r="I84" s="7">
        <v>98</v>
      </c>
      <c r="J84" s="6" t="s">
        <v>707</v>
      </c>
      <c r="K84" s="3" t="s">
        <v>16</v>
      </c>
      <c r="L84" s="7">
        <v>1.1100000000000001</v>
      </c>
      <c r="M84" s="7" t="s">
        <v>698</v>
      </c>
      <c r="N84" s="4"/>
      <c r="O84" s="51">
        <v>41.375999999999998</v>
      </c>
      <c r="P84" s="62" t="s">
        <v>731</v>
      </c>
      <c r="Q84" s="52">
        <v>48545.96</v>
      </c>
    </row>
    <row r="85" spans="1:17" s="49" customFormat="1" ht="12.75">
      <c r="A85" s="97"/>
      <c r="B85" s="1" t="s">
        <v>401</v>
      </c>
      <c r="C85" s="1" t="s">
        <v>387</v>
      </c>
      <c r="D85" s="1" t="s">
        <v>13</v>
      </c>
      <c r="E85" s="2" t="s">
        <v>54</v>
      </c>
      <c r="F85" s="4">
        <v>77215.850000000006</v>
      </c>
      <c r="G85" s="4" t="s">
        <v>706</v>
      </c>
      <c r="H85" s="3">
        <v>340.34</v>
      </c>
      <c r="I85" s="6">
        <v>305</v>
      </c>
      <c r="J85" s="6" t="s">
        <v>707</v>
      </c>
      <c r="K85" s="3" t="s">
        <v>16</v>
      </c>
      <c r="L85" s="6">
        <v>1</v>
      </c>
      <c r="M85" s="6" t="s">
        <v>714</v>
      </c>
      <c r="N85" s="4">
        <v>0.08</v>
      </c>
      <c r="O85" s="51">
        <v>106.179</v>
      </c>
      <c r="P85" s="62" t="s">
        <v>731</v>
      </c>
      <c r="Q85" s="52">
        <v>41066.68</v>
      </c>
    </row>
    <row r="86" spans="1:17" s="49" customFormat="1" ht="12.75">
      <c r="A86" s="97"/>
      <c r="B86" s="1"/>
      <c r="C86" s="1" t="s">
        <v>715</v>
      </c>
      <c r="D86" s="1"/>
      <c r="E86" s="2"/>
      <c r="F86" s="4">
        <v>112600.73</v>
      </c>
      <c r="G86" s="4" t="s">
        <v>716</v>
      </c>
      <c r="H86" s="3">
        <v>512.58000000000004</v>
      </c>
      <c r="I86" s="6">
        <v>273</v>
      </c>
      <c r="J86" s="6" t="s">
        <v>717</v>
      </c>
      <c r="K86" s="3" t="s">
        <v>16</v>
      </c>
      <c r="L86" s="6">
        <v>0.93</v>
      </c>
      <c r="M86" s="6" t="s">
        <v>694</v>
      </c>
      <c r="N86" s="4"/>
      <c r="O86" s="51">
        <v>265.52499999999998</v>
      </c>
      <c r="P86" s="62" t="s">
        <v>731</v>
      </c>
      <c r="Q86" s="52">
        <v>110426.81</v>
      </c>
    </row>
    <row r="87" spans="1:17" s="49" customFormat="1" ht="12.75">
      <c r="A87" s="97"/>
      <c r="B87" s="1"/>
      <c r="C87" s="64"/>
      <c r="D87" s="1"/>
      <c r="E87" s="2"/>
      <c r="F87" s="4">
        <v>147167.01</v>
      </c>
      <c r="G87" s="4" t="s">
        <v>718</v>
      </c>
      <c r="H87" s="3">
        <v>778.31</v>
      </c>
      <c r="I87" s="6">
        <v>222</v>
      </c>
      <c r="J87" s="6" t="s">
        <v>717</v>
      </c>
      <c r="K87" s="3" t="s">
        <v>16</v>
      </c>
      <c r="L87" s="6">
        <v>0.75</v>
      </c>
      <c r="M87" s="6" t="s">
        <v>695</v>
      </c>
      <c r="N87" s="4"/>
      <c r="O87" s="51">
        <v>53.77</v>
      </c>
      <c r="P87" s="62" t="s">
        <v>731</v>
      </c>
      <c r="Q87" s="52">
        <v>27728.73</v>
      </c>
    </row>
    <row r="88" spans="1:17" s="49" customFormat="1" ht="12.75">
      <c r="A88" s="97"/>
      <c r="B88" s="1" t="s">
        <v>401</v>
      </c>
      <c r="C88" s="1" t="s">
        <v>557</v>
      </c>
      <c r="D88" s="1" t="s">
        <v>13</v>
      </c>
      <c r="E88" s="2" t="s">
        <v>719</v>
      </c>
      <c r="F88" s="4">
        <v>77215.850000000006</v>
      </c>
      <c r="G88" s="4" t="s">
        <v>720</v>
      </c>
      <c r="H88" s="3">
        <v>340.34</v>
      </c>
      <c r="I88" s="6">
        <v>137</v>
      </c>
      <c r="J88" s="6" t="s">
        <v>717</v>
      </c>
      <c r="K88" s="3" t="s">
        <v>16</v>
      </c>
      <c r="L88" s="6">
        <v>1</v>
      </c>
      <c r="M88" s="6" t="s">
        <v>721</v>
      </c>
      <c r="N88" s="4">
        <v>0.08</v>
      </c>
      <c r="O88" s="62" t="s">
        <v>731</v>
      </c>
      <c r="P88" s="62" t="s">
        <v>731</v>
      </c>
      <c r="Q88" s="62" t="s">
        <v>731</v>
      </c>
    </row>
    <row r="89" spans="1:17" s="49" customFormat="1" ht="12.75">
      <c r="A89" s="97"/>
      <c r="B89" s="1"/>
      <c r="C89" s="1" t="s">
        <v>722</v>
      </c>
      <c r="D89" s="1"/>
      <c r="E89" s="2"/>
      <c r="F89" s="4">
        <v>112600.73</v>
      </c>
      <c r="G89" s="4" t="s">
        <v>709</v>
      </c>
      <c r="H89" s="3">
        <v>512.58000000000004</v>
      </c>
      <c r="I89" s="6">
        <v>143</v>
      </c>
      <c r="J89" s="7" t="s">
        <v>707</v>
      </c>
      <c r="K89" s="3" t="s">
        <v>16</v>
      </c>
      <c r="L89" s="6">
        <v>0.93</v>
      </c>
      <c r="M89" s="6" t="s">
        <v>415</v>
      </c>
      <c r="N89" s="4"/>
      <c r="O89" s="62" t="s">
        <v>731</v>
      </c>
      <c r="P89" s="62" t="s">
        <v>731</v>
      </c>
      <c r="Q89" s="62" t="s">
        <v>731</v>
      </c>
    </row>
    <row r="90" spans="1:17" s="49" customFormat="1" ht="12.75">
      <c r="A90" s="97"/>
      <c r="B90" s="1"/>
      <c r="C90" s="64"/>
      <c r="D90" s="1"/>
      <c r="E90" s="2"/>
      <c r="F90" s="4">
        <v>147167.01</v>
      </c>
      <c r="G90" s="4" t="s">
        <v>710</v>
      </c>
      <c r="H90" s="3">
        <v>778.31</v>
      </c>
      <c r="I90" s="6">
        <v>115</v>
      </c>
      <c r="J90" s="7" t="s">
        <v>707</v>
      </c>
      <c r="K90" s="3" t="s">
        <v>16</v>
      </c>
      <c r="L90" s="6">
        <v>0.66</v>
      </c>
      <c r="M90" s="6" t="s">
        <v>696</v>
      </c>
      <c r="N90" s="4"/>
      <c r="O90" s="62" t="s">
        <v>731</v>
      </c>
      <c r="P90" s="62" t="s">
        <v>731</v>
      </c>
      <c r="Q90" s="62" t="s">
        <v>731</v>
      </c>
    </row>
    <row r="91" spans="1:17" s="49" customFormat="1" ht="15">
      <c r="A91" s="97"/>
      <c r="B91" s="1" t="s">
        <v>401</v>
      </c>
      <c r="C91" s="65" t="s">
        <v>551</v>
      </c>
      <c r="D91" s="65" t="s">
        <v>56</v>
      </c>
      <c r="E91" s="67" t="s">
        <v>54</v>
      </c>
      <c r="F91" s="4">
        <v>77215.850000000006</v>
      </c>
      <c r="G91" s="4" t="s">
        <v>706</v>
      </c>
      <c r="H91" s="3">
        <v>340.34</v>
      </c>
      <c r="I91" s="7">
        <v>168</v>
      </c>
      <c r="J91" s="6" t="s">
        <v>707</v>
      </c>
      <c r="K91" s="5" t="s">
        <v>16</v>
      </c>
      <c r="L91" s="7">
        <v>1</v>
      </c>
      <c r="M91" s="7" t="s">
        <v>714</v>
      </c>
      <c r="N91" s="4">
        <v>0.47</v>
      </c>
      <c r="O91" s="51">
        <v>52.604999999999997</v>
      </c>
      <c r="P91" s="62" t="s">
        <v>731</v>
      </c>
      <c r="Q91" s="52">
        <v>40608.550000000003</v>
      </c>
    </row>
    <row r="92" spans="1:17" s="49" customFormat="1" ht="15">
      <c r="A92" s="97"/>
      <c r="B92" s="68"/>
      <c r="C92" s="65" t="s">
        <v>723</v>
      </c>
      <c r="D92" s="65"/>
      <c r="E92" s="68"/>
      <c r="F92" s="4">
        <v>112600.73</v>
      </c>
      <c r="G92" s="4" t="s">
        <v>709</v>
      </c>
      <c r="H92" s="3">
        <v>512.58000000000004</v>
      </c>
      <c r="I92" s="7">
        <v>130</v>
      </c>
      <c r="J92" s="6" t="s">
        <v>707</v>
      </c>
      <c r="K92" s="5" t="s">
        <v>16</v>
      </c>
      <c r="L92" s="7">
        <v>0.92</v>
      </c>
      <c r="M92" s="7" t="s">
        <v>724</v>
      </c>
      <c r="N92" s="4"/>
      <c r="O92" s="51">
        <v>130.91300000000001</v>
      </c>
      <c r="P92" s="62" t="s">
        <v>731</v>
      </c>
      <c r="Q92" s="52">
        <v>109845.72</v>
      </c>
    </row>
    <row r="93" spans="1:17" s="49" customFormat="1" ht="15">
      <c r="A93" s="97"/>
      <c r="B93" s="68"/>
      <c r="C93" s="66"/>
      <c r="D93" s="65"/>
      <c r="E93" s="68"/>
      <c r="F93" s="4">
        <v>147167.01</v>
      </c>
      <c r="G93" s="4" t="s">
        <v>710</v>
      </c>
      <c r="H93" s="3">
        <v>778.31</v>
      </c>
      <c r="I93" s="7">
        <v>107</v>
      </c>
      <c r="J93" s="6" t="s">
        <v>707</v>
      </c>
      <c r="K93" s="5" t="s">
        <v>16</v>
      </c>
      <c r="L93" s="7">
        <v>0.85</v>
      </c>
      <c r="M93" s="7" t="s">
        <v>725</v>
      </c>
      <c r="N93" s="4"/>
      <c r="O93" s="51">
        <v>29.475000000000001</v>
      </c>
      <c r="P93" s="62" t="s">
        <v>731</v>
      </c>
      <c r="Q93" s="52">
        <v>26768.61</v>
      </c>
    </row>
    <row r="94" spans="1:17" s="18" customFormat="1" ht="12" customHeight="1">
      <c r="A94" s="96" t="s">
        <v>746</v>
      </c>
      <c r="B94" s="22" t="s">
        <v>137</v>
      </c>
      <c r="C94" s="22" t="s">
        <v>494</v>
      </c>
      <c r="D94" s="22" t="s">
        <v>56</v>
      </c>
      <c r="E94" s="23">
        <v>14</v>
      </c>
      <c r="F94" s="22" t="s">
        <v>53</v>
      </c>
      <c r="G94" s="22" t="s">
        <v>14</v>
      </c>
      <c r="H94" s="36" t="s">
        <v>493</v>
      </c>
      <c r="I94" s="37">
        <v>165</v>
      </c>
      <c r="J94" s="38" t="s">
        <v>53</v>
      </c>
      <c r="K94" s="38" t="s">
        <v>402</v>
      </c>
      <c r="L94" s="37">
        <v>1</v>
      </c>
      <c r="M94" s="37" t="s">
        <v>21</v>
      </c>
      <c r="N94" s="22">
        <v>0.34</v>
      </c>
      <c r="O94" s="54">
        <v>163.59</v>
      </c>
      <c r="P94" s="55">
        <v>17092.259999999998</v>
      </c>
      <c r="Q94" s="57" t="s">
        <v>731</v>
      </c>
    </row>
    <row r="95" spans="1:17" s="18" customFormat="1" ht="12.75">
      <c r="A95" s="96"/>
      <c r="B95" s="22"/>
      <c r="C95" s="22" t="s">
        <v>487</v>
      </c>
      <c r="D95" s="22"/>
      <c r="E95" s="22"/>
      <c r="F95" s="22" t="s">
        <v>53</v>
      </c>
      <c r="G95" s="22" t="s">
        <v>20</v>
      </c>
      <c r="H95" s="36">
        <v>645</v>
      </c>
      <c r="I95" s="37">
        <v>132</v>
      </c>
      <c r="J95" s="38" t="s">
        <v>53</v>
      </c>
      <c r="K95" s="38" t="s">
        <v>402</v>
      </c>
      <c r="L95" s="37">
        <v>0.79</v>
      </c>
      <c r="M95" s="37" t="s">
        <v>488</v>
      </c>
      <c r="N95" s="22"/>
      <c r="O95" s="54">
        <v>126.60899999999999</v>
      </c>
      <c r="P95" s="55">
        <v>16744.84</v>
      </c>
      <c r="Q95" s="57" t="s">
        <v>731</v>
      </c>
    </row>
    <row r="96" spans="1:17" s="18" customFormat="1" ht="12.75">
      <c r="A96" s="96"/>
      <c r="B96" s="22"/>
      <c r="C96" s="25">
        <f>690/85764</f>
        <v>8.0453337064502594E-3</v>
      </c>
      <c r="D96" s="22"/>
      <c r="E96" s="22"/>
      <c r="F96" s="22" t="s">
        <v>53</v>
      </c>
      <c r="G96" s="22" t="s">
        <v>22</v>
      </c>
      <c r="H96" s="36">
        <v>675</v>
      </c>
      <c r="I96" s="37">
        <v>117</v>
      </c>
      <c r="J96" s="38" t="s">
        <v>53</v>
      </c>
      <c r="K96" s="38" t="s">
        <v>402</v>
      </c>
      <c r="L96" s="37">
        <v>0.71</v>
      </c>
      <c r="M96" s="37" t="s">
        <v>489</v>
      </c>
      <c r="N96" s="22"/>
      <c r="O96" s="54">
        <v>115.54600000000001</v>
      </c>
      <c r="P96" s="55">
        <v>17003.62</v>
      </c>
      <c r="Q96" s="57" t="s">
        <v>731</v>
      </c>
    </row>
    <row r="97" spans="1:17" s="18" customFormat="1" ht="12.75">
      <c r="A97" s="96"/>
      <c r="B97" s="22"/>
      <c r="C97" s="22"/>
      <c r="D97" s="22"/>
      <c r="E97" s="22"/>
      <c r="F97" s="22" t="s">
        <v>53</v>
      </c>
      <c r="G97" s="22" t="s">
        <v>25</v>
      </c>
      <c r="H97" s="36">
        <v>837</v>
      </c>
      <c r="I97" s="37">
        <v>142</v>
      </c>
      <c r="J97" s="38" t="s">
        <v>53</v>
      </c>
      <c r="K97" s="38" t="s">
        <v>402</v>
      </c>
      <c r="L97" s="37">
        <v>0.87</v>
      </c>
      <c r="M97" s="37" t="s">
        <v>490</v>
      </c>
      <c r="N97" s="22"/>
      <c r="O97" s="54">
        <v>147.81399999999999</v>
      </c>
      <c r="P97" s="55">
        <v>17751.650000000001</v>
      </c>
      <c r="Q97" s="57" t="s">
        <v>731</v>
      </c>
    </row>
    <row r="98" spans="1:17" s="18" customFormat="1" ht="12.75">
      <c r="A98" s="96"/>
      <c r="B98" s="22"/>
      <c r="C98" s="22"/>
      <c r="D98" s="22"/>
      <c r="E98" s="22"/>
      <c r="F98" s="22" t="s">
        <v>53</v>
      </c>
      <c r="G98" s="22" t="s">
        <v>67</v>
      </c>
      <c r="H98" s="36">
        <v>1145</v>
      </c>
      <c r="I98" s="37">
        <v>134</v>
      </c>
      <c r="J98" s="38" t="s">
        <v>53</v>
      </c>
      <c r="K98" s="38" t="s">
        <v>402</v>
      </c>
      <c r="L98" s="37">
        <v>0.83</v>
      </c>
      <c r="M98" s="37" t="s">
        <v>491</v>
      </c>
      <c r="N98" s="22"/>
      <c r="O98" s="54">
        <v>134.005</v>
      </c>
      <c r="P98" s="55">
        <v>16868.919999999998</v>
      </c>
      <c r="Q98" s="57" t="s">
        <v>731</v>
      </c>
    </row>
    <row r="99" spans="1:17" s="18" customFormat="1" ht="12.75">
      <c r="A99" s="96"/>
      <c r="B99" s="18" t="s">
        <v>11</v>
      </c>
      <c r="C99" s="18" t="s">
        <v>495</v>
      </c>
      <c r="D99" s="22" t="s">
        <v>56</v>
      </c>
      <c r="E99" s="23">
        <v>14</v>
      </c>
      <c r="F99" s="22" t="s">
        <v>53</v>
      </c>
      <c r="G99" s="22" t="s">
        <v>14</v>
      </c>
      <c r="H99" s="36" t="s">
        <v>493</v>
      </c>
      <c r="I99" s="18">
        <v>28</v>
      </c>
      <c r="J99" s="38" t="s">
        <v>53</v>
      </c>
      <c r="K99" s="38" t="s">
        <v>402</v>
      </c>
      <c r="L99" s="18">
        <v>1</v>
      </c>
      <c r="M99" s="18" t="s">
        <v>37</v>
      </c>
      <c r="N99" s="18">
        <v>0.03</v>
      </c>
      <c r="O99" s="57" t="s">
        <v>731</v>
      </c>
      <c r="P99" s="57" t="s">
        <v>731</v>
      </c>
      <c r="Q99" s="57" t="s">
        <v>731</v>
      </c>
    </row>
    <row r="100" spans="1:17" s="18" customFormat="1" ht="12.75">
      <c r="A100" s="96"/>
      <c r="C100" s="18" t="s">
        <v>498</v>
      </c>
      <c r="E100" s="22"/>
      <c r="F100" s="22" t="s">
        <v>53</v>
      </c>
      <c r="G100" s="22" t="s">
        <v>20</v>
      </c>
      <c r="H100" s="36">
        <v>645</v>
      </c>
      <c r="I100" s="18">
        <v>20</v>
      </c>
      <c r="J100" s="38" t="s">
        <v>53</v>
      </c>
      <c r="K100" s="38" t="s">
        <v>402</v>
      </c>
      <c r="L100" s="18">
        <v>0.72</v>
      </c>
      <c r="M100" s="18" t="s">
        <v>502</v>
      </c>
      <c r="O100" s="57" t="s">
        <v>731</v>
      </c>
      <c r="P100" s="57" t="s">
        <v>731</v>
      </c>
      <c r="Q100" s="57" t="s">
        <v>731</v>
      </c>
    </row>
    <row r="101" spans="1:17" s="18" customFormat="1" ht="12.75">
      <c r="A101" s="96"/>
      <c r="C101" s="39">
        <f>129/85764</f>
        <v>1.5041276059885266E-3</v>
      </c>
      <c r="E101" s="22"/>
      <c r="F101" s="22" t="s">
        <v>53</v>
      </c>
      <c r="G101" s="22" t="s">
        <v>22</v>
      </c>
      <c r="H101" s="36">
        <v>675</v>
      </c>
      <c r="I101" s="18">
        <v>15</v>
      </c>
      <c r="J101" s="38" t="s">
        <v>53</v>
      </c>
      <c r="K101" s="38" t="s">
        <v>402</v>
      </c>
      <c r="L101" s="18">
        <v>0.57999999999999996</v>
      </c>
      <c r="M101" s="18" t="s">
        <v>503</v>
      </c>
      <c r="O101" s="57" t="s">
        <v>731</v>
      </c>
      <c r="P101" s="57" t="s">
        <v>731</v>
      </c>
      <c r="Q101" s="57" t="s">
        <v>731</v>
      </c>
    </row>
    <row r="102" spans="1:17" s="18" customFormat="1" ht="12.75">
      <c r="A102" s="96"/>
      <c r="E102" s="22"/>
      <c r="F102" s="22" t="s">
        <v>53</v>
      </c>
      <c r="G102" s="22" t="s">
        <v>25</v>
      </c>
      <c r="H102" s="36">
        <v>837</v>
      </c>
      <c r="I102" s="18">
        <v>32</v>
      </c>
      <c r="J102" s="38" t="s">
        <v>53</v>
      </c>
      <c r="K102" s="38" t="s">
        <v>402</v>
      </c>
      <c r="L102" s="18">
        <v>1.2</v>
      </c>
      <c r="M102" s="18" t="s">
        <v>504</v>
      </c>
      <c r="O102" s="57" t="s">
        <v>731</v>
      </c>
      <c r="P102" s="57" t="s">
        <v>731</v>
      </c>
      <c r="Q102" s="57" t="s">
        <v>731</v>
      </c>
    </row>
    <row r="103" spans="1:17" s="18" customFormat="1" ht="12.75">
      <c r="A103" s="96"/>
      <c r="E103" s="22"/>
      <c r="F103" s="22" t="s">
        <v>53</v>
      </c>
      <c r="G103" s="22" t="s">
        <v>67</v>
      </c>
      <c r="H103" s="36">
        <v>1145</v>
      </c>
      <c r="I103" s="18">
        <v>34</v>
      </c>
      <c r="J103" s="38" t="s">
        <v>53</v>
      </c>
      <c r="K103" s="38" t="s">
        <v>402</v>
      </c>
      <c r="L103" s="18">
        <v>1.33</v>
      </c>
      <c r="M103" s="18" t="s">
        <v>505</v>
      </c>
      <c r="O103" s="57" t="s">
        <v>731</v>
      </c>
      <c r="P103" s="57" t="s">
        <v>731</v>
      </c>
      <c r="Q103" s="57" t="s">
        <v>731</v>
      </c>
    </row>
    <row r="104" spans="1:17" s="18" customFormat="1" ht="12.75">
      <c r="A104" s="96"/>
      <c r="B104" s="18" t="s">
        <v>11</v>
      </c>
      <c r="C104" s="18" t="s">
        <v>526</v>
      </c>
      <c r="D104" s="22" t="s">
        <v>56</v>
      </c>
      <c r="E104" s="23">
        <v>14</v>
      </c>
      <c r="F104" s="22" t="s">
        <v>53</v>
      </c>
      <c r="G104" s="22" t="s">
        <v>14</v>
      </c>
      <c r="H104" s="36" t="s">
        <v>493</v>
      </c>
      <c r="I104" s="18">
        <v>16</v>
      </c>
      <c r="J104" s="38" t="s">
        <v>53</v>
      </c>
      <c r="K104" s="38" t="s">
        <v>402</v>
      </c>
      <c r="L104" s="18">
        <v>1</v>
      </c>
      <c r="M104" s="18" t="s">
        <v>37</v>
      </c>
      <c r="N104" s="18">
        <v>7.0000000000000007E-2</v>
      </c>
      <c r="O104" s="57" t="s">
        <v>731</v>
      </c>
      <c r="P104" s="57" t="s">
        <v>731</v>
      </c>
      <c r="Q104" s="57" t="s">
        <v>731</v>
      </c>
    </row>
    <row r="105" spans="1:17" s="18" customFormat="1" ht="12.75">
      <c r="A105" s="96"/>
      <c r="C105" s="18" t="s">
        <v>499</v>
      </c>
      <c r="E105" s="22"/>
      <c r="F105" s="22" t="s">
        <v>53</v>
      </c>
      <c r="G105" s="22" t="s">
        <v>20</v>
      </c>
      <c r="H105" s="36">
        <v>645</v>
      </c>
      <c r="I105" s="18">
        <v>21</v>
      </c>
      <c r="J105" s="38" t="s">
        <v>53</v>
      </c>
      <c r="K105" s="38" t="s">
        <v>402</v>
      </c>
      <c r="L105" s="18">
        <v>1.32</v>
      </c>
      <c r="M105" s="18" t="s">
        <v>506</v>
      </c>
      <c r="O105" s="57" t="s">
        <v>731</v>
      </c>
      <c r="P105" s="57" t="s">
        <v>731</v>
      </c>
      <c r="Q105" s="57" t="s">
        <v>731</v>
      </c>
    </row>
    <row r="106" spans="1:17" s="18" customFormat="1" ht="12.75">
      <c r="A106" s="96"/>
      <c r="C106" s="40">
        <f>74/85764</f>
        <v>8.6283289025698424E-4</v>
      </c>
      <c r="E106" s="22"/>
      <c r="F106" s="22" t="s">
        <v>53</v>
      </c>
      <c r="G106" s="22" t="s">
        <v>22</v>
      </c>
      <c r="H106" s="36">
        <v>675</v>
      </c>
      <c r="I106" s="18">
        <v>15</v>
      </c>
      <c r="J106" s="38" t="s">
        <v>53</v>
      </c>
      <c r="K106" s="38" t="s">
        <v>402</v>
      </c>
      <c r="L106" s="18">
        <v>0.93</v>
      </c>
      <c r="M106" s="18" t="s">
        <v>507</v>
      </c>
      <c r="O106" s="57" t="s">
        <v>731</v>
      </c>
      <c r="P106" s="57" t="s">
        <v>731</v>
      </c>
      <c r="Q106" s="57" t="s">
        <v>731</v>
      </c>
    </row>
    <row r="107" spans="1:17" s="18" customFormat="1" ht="12.75">
      <c r="A107" s="96"/>
      <c r="E107" s="22"/>
      <c r="F107" s="22" t="s">
        <v>53</v>
      </c>
      <c r="G107" s="22" t="s">
        <v>25</v>
      </c>
      <c r="H107" s="36">
        <v>837</v>
      </c>
      <c r="I107" s="18">
        <v>13</v>
      </c>
      <c r="J107" s="38" t="s">
        <v>53</v>
      </c>
      <c r="K107" s="38" t="s">
        <v>402</v>
      </c>
      <c r="L107" s="18">
        <v>0.8</v>
      </c>
      <c r="M107" s="18" t="s">
        <v>508</v>
      </c>
      <c r="O107" s="57" t="s">
        <v>731</v>
      </c>
      <c r="P107" s="57" t="s">
        <v>731</v>
      </c>
      <c r="Q107" s="57" t="s">
        <v>731</v>
      </c>
    </row>
    <row r="108" spans="1:17" s="18" customFormat="1" ht="12.75">
      <c r="A108" s="96"/>
      <c r="E108" s="22"/>
      <c r="F108" s="22" t="s">
        <v>53</v>
      </c>
      <c r="G108" s="22" t="s">
        <v>67</v>
      </c>
      <c r="H108" s="36">
        <v>1145</v>
      </c>
      <c r="I108" s="18">
        <v>9</v>
      </c>
      <c r="J108" s="38" t="s">
        <v>53</v>
      </c>
      <c r="K108" s="38" t="s">
        <v>402</v>
      </c>
      <c r="L108" s="18">
        <v>0.56000000000000005</v>
      </c>
      <c r="M108" s="18" t="s">
        <v>509</v>
      </c>
      <c r="O108" s="57" t="s">
        <v>731</v>
      </c>
      <c r="P108" s="57" t="s">
        <v>731</v>
      </c>
      <c r="Q108" s="57" t="s">
        <v>731</v>
      </c>
    </row>
    <row r="109" spans="1:17" s="18" customFormat="1" ht="12.75">
      <c r="A109" s="96"/>
      <c r="B109" s="18" t="s">
        <v>11</v>
      </c>
      <c r="C109" s="18" t="s">
        <v>496</v>
      </c>
      <c r="D109" s="22" t="s">
        <v>56</v>
      </c>
      <c r="E109" s="23">
        <v>14</v>
      </c>
      <c r="F109" s="22" t="s">
        <v>53</v>
      </c>
      <c r="G109" s="22" t="s">
        <v>14</v>
      </c>
      <c r="H109" s="36" t="s">
        <v>493</v>
      </c>
      <c r="I109" s="18">
        <v>99</v>
      </c>
      <c r="J109" s="38" t="s">
        <v>53</v>
      </c>
      <c r="K109" s="38" t="s">
        <v>402</v>
      </c>
      <c r="L109" s="18">
        <v>1</v>
      </c>
      <c r="M109" s="18" t="s">
        <v>37</v>
      </c>
      <c r="N109" s="18">
        <v>0.04</v>
      </c>
      <c r="O109" s="57" t="s">
        <v>731</v>
      </c>
      <c r="P109" s="57" t="s">
        <v>731</v>
      </c>
      <c r="Q109" s="57" t="s">
        <v>731</v>
      </c>
    </row>
    <row r="110" spans="1:17" s="18" customFormat="1" ht="12.75">
      <c r="A110" s="96"/>
      <c r="C110" s="18" t="s">
        <v>500</v>
      </c>
      <c r="E110" s="22"/>
      <c r="F110" s="22" t="s">
        <v>53</v>
      </c>
      <c r="G110" s="22" t="s">
        <v>20</v>
      </c>
      <c r="H110" s="36">
        <v>645</v>
      </c>
      <c r="I110" s="18">
        <v>77</v>
      </c>
      <c r="J110" s="38" t="s">
        <v>53</v>
      </c>
      <c r="K110" s="38" t="s">
        <v>402</v>
      </c>
      <c r="L110" s="18">
        <v>0.76</v>
      </c>
      <c r="M110" s="18" t="s">
        <v>510</v>
      </c>
      <c r="O110" s="57" t="s">
        <v>731</v>
      </c>
      <c r="P110" s="57" t="s">
        <v>731</v>
      </c>
      <c r="Q110" s="57" t="s">
        <v>731</v>
      </c>
    </row>
    <row r="111" spans="1:17" s="18" customFormat="1" ht="12.75">
      <c r="A111" s="96"/>
      <c r="C111" s="39">
        <f>386/85764</f>
        <v>4.5007229140431879E-3</v>
      </c>
      <c r="E111" s="22"/>
      <c r="F111" s="22" t="s">
        <v>53</v>
      </c>
      <c r="G111" s="22" t="s">
        <v>22</v>
      </c>
      <c r="H111" s="36">
        <v>675</v>
      </c>
      <c r="I111" s="18">
        <v>71</v>
      </c>
      <c r="J111" s="38" t="s">
        <v>53</v>
      </c>
      <c r="K111" s="38" t="s">
        <v>402</v>
      </c>
      <c r="L111" s="18">
        <v>0.72</v>
      </c>
      <c r="M111" s="18" t="s">
        <v>511</v>
      </c>
      <c r="O111" s="57" t="s">
        <v>731</v>
      </c>
      <c r="P111" s="57" t="s">
        <v>731</v>
      </c>
      <c r="Q111" s="57" t="s">
        <v>731</v>
      </c>
    </row>
    <row r="112" spans="1:17" s="18" customFormat="1" ht="12.75">
      <c r="A112" s="96"/>
      <c r="E112" s="22"/>
      <c r="F112" s="22" t="s">
        <v>53</v>
      </c>
      <c r="G112" s="22" t="s">
        <v>25</v>
      </c>
      <c r="H112" s="36">
        <v>837</v>
      </c>
      <c r="I112" s="18">
        <v>67</v>
      </c>
      <c r="J112" s="38" t="s">
        <v>53</v>
      </c>
      <c r="K112" s="38" t="s">
        <v>402</v>
      </c>
      <c r="L112" s="18">
        <v>0.68</v>
      </c>
      <c r="M112" s="18" t="s">
        <v>512</v>
      </c>
      <c r="O112" s="57" t="s">
        <v>731</v>
      </c>
      <c r="P112" s="57" t="s">
        <v>731</v>
      </c>
      <c r="Q112" s="57" t="s">
        <v>731</v>
      </c>
    </row>
    <row r="113" spans="1:17" s="18" customFormat="1" ht="12.75">
      <c r="A113" s="96"/>
      <c r="E113" s="22"/>
      <c r="F113" s="22" t="s">
        <v>53</v>
      </c>
      <c r="G113" s="22" t="s">
        <v>67</v>
      </c>
      <c r="H113" s="36">
        <v>1145</v>
      </c>
      <c r="I113" s="18">
        <v>72</v>
      </c>
      <c r="J113" s="38" t="s">
        <v>53</v>
      </c>
      <c r="K113" s="38" t="s">
        <v>402</v>
      </c>
      <c r="L113" s="18">
        <v>0.72</v>
      </c>
      <c r="M113" s="18" t="s">
        <v>513</v>
      </c>
      <c r="O113" s="57" t="s">
        <v>731</v>
      </c>
      <c r="P113" s="57" t="s">
        <v>731</v>
      </c>
      <c r="Q113" s="57" t="s">
        <v>731</v>
      </c>
    </row>
    <row r="114" spans="1:17" s="18" customFormat="1" ht="12.75">
      <c r="A114" s="96"/>
      <c r="B114" s="18" t="s">
        <v>11</v>
      </c>
      <c r="C114" s="18" t="s">
        <v>497</v>
      </c>
      <c r="D114" s="22" t="s">
        <v>56</v>
      </c>
      <c r="E114" s="23">
        <v>14</v>
      </c>
      <c r="F114" s="22" t="s">
        <v>53</v>
      </c>
      <c r="G114" s="22" t="s">
        <v>14</v>
      </c>
      <c r="H114" s="36" t="s">
        <v>493</v>
      </c>
      <c r="I114" s="18">
        <v>95</v>
      </c>
      <c r="J114" s="38" t="s">
        <v>53</v>
      </c>
      <c r="K114" s="38" t="s">
        <v>402</v>
      </c>
      <c r="L114" s="18">
        <v>1</v>
      </c>
      <c r="M114" s="18" t="s">
        <v>37</v>
      </c>
      <c r="N114" s="18">
        <v>0.01</v>
      </c>
      <c r="O114" s="57" t="s">
        <v>731</v>
      </c>
      <c r="P114" s="57" t="s">
        <v>731</v>
      </c>
      <c r="Q114" s="57" t="s">
        <v>731</v>
      </c>
    </row>
    <row r="115" spans="1:17" s="18" customFormat="1" ht="12.75">
      <c r="A115" s="96"/>
      <c r="C115" s="18" t="s">
        <v>501</v>
      </c>
      <c r="E115" s="22"/>
      <c r="F115" s="22" t="s">
        <v>53</v>
      </c>
      <c r="G115" s="22" t="s">
        <v>20</v>
      </c>
      <c r="H115" s="36">
        <v>645</v>
      </c>
      <c r="I115" s="18">
        <v>70</v>
      </c>
      <c r="J115" s="38" t="s">
        <v>53</v>
      </c>
      <c r="K115" s="38" t="s">
        <v>402</v>
      </c>
      <c r="L115" s="18">
        <v>0.72</v>
      </c>
      <c r="M115" s="18" t="s">
        <v>514</v>
      </c>
      <c r="O115" s="57" t="s">
        <v>731</v>
      </c>
      <c r="P115" s="57" t="s">
        <v>731</v>
      </c>
      <c r="Q115" s="57" t="s">
        <v>731</v>
      </c>
    </row>
    <row r="116" spans="1:17" s="18" customFormat="1" ht="12.75">
      <c r="A116" s="96"/>
      <c r="C116" s="39">
        <f>347/85764</f>
        <v>4.0459866610699129E-3</v>
      </c>
      <c r="E116" s="22"/>
      <c r="F116" s="22" t="s">
        <v>53</v>
      </c>
      <c r="G116" s="22" t="s">
        <v>22</v>
      </c>
      <c r="H116" s="36">
        <v>675</v>
      </c>
      <c r="I116" s="18">
        <v>62</v>
      </c>
      <c r="J116" s="38" t="s">
        <v>53</v>
      </c>
      <c r="K116" s="38" t="s">
        <v>402</v>
      </c>
      <c r="L116" s="18">
        <v>0.66</v>
      </c>
      <c r="M116" s="18" t="s">
        <v>515</v>
      </c>
      <c r="O116" s="57" t="s">
        <v>731</v>
      </c>
      <c r="P116" s="57" t="s">
        <v>731</v>
      </c>
      <c r="Q116" s="57" t="s">
        <v>731</v>
      </c>
    </row>
    <row r="117" spans="1:17" s="18" customFormat="1" ht="12.75">
      <c r="A117" s="96"/>
      <c r="E117" s="22"/>
      <c r="F117" s="22" t="s">
        <v>53</v>
      </c>
      <c r="G117" s="22" t="s">
        <v>25</v>
      </c>
      <c r="H117" s="36">
        <v>837</v>
      </c>
      <c r="I117" s="18">
        <v>58</v>
      </c>
      <c r="J117" s="38" t="s">
        <v>53</v>
      </c>
      <c r="K117" s="38" t="s">
        <v>402</v>
      </c>
      <c r="L117" s="18">
        <v>0.62</v>
      </c>
      <c r="M117" s="18" t="s">
        <v>516</v>
      </c>
      <c r="O117" s="57" t="s">
        <v>731</v>
      </c>
      <c r="P117" s="57" t="s">
        <v>731</v>
      </c>
      <c r="Q117" s="57" t="s">
        <v>731</v>
      </c>
    </row>
    <row r="118" spans="1:17" s="18" customFormat="1" ht="12.75">
      <c r="A118" s="96"/>
      <c r="E118" s="22"/>
      <c r="F118" s="22" t="s">
        <v>53</v>
      </c>
      <c r="G118" s="22" t="s">
        <v>67</v>
      </c>
      <c r="H118" s="36">
        <v>1145</v>
      </c>
      <c r="I118" s="18">
        <v>62</v>
      </c>
      <c r="J118" s="38" t="s">
        <v>53</v>
      </c>
      <c r="K118" s="38" t="s">
        <v>402</v>
      </c>
      <c r="L118" s="18">
        <v>0.65</v>
      </c>
      <c r="M118" s="18" t="s">
        <v>517</v>
      </c>
      <c r="O118" s="57" t="s">
        <v>731</v>
      </c>
      <c r="P118" s="57" t="s">
        <v>731</v>
      </c>
      <c r="Q118" s="57" t="s">
        <v>731</v>
      </c>
    </row>
    <row r="119" spans="1:17" s="49" customFormat="1" ht="12.75">
      <c r="A119" s="97" t="s">
        <v>742</v>
      </c>
      <c r="B119" s="6" t="s">
        <v>75</v>
      </c>
      <c r="C119" s="6" t="s">
        <v>12</v>
      </c>
      <c r="D119" s="6" t="s">
        <v>56</v>
      </c>
      <c r="E119" s="3">
        <v>10</v>
      </c>
      <c r="F119" s="6" t="s">
        <v>18</v>
      </c>
      <c r="G119" s="6" t="s">
        <v>431</v>
      </c>
      <c r="H119" s="3" t="s">
        <v>395</v>
      </c>
      <c r="I119" s="6">
        <v>257</v>
      </c>
      <c r="J119" s="6">
        <v>7786</v>
      </c>
      <c r="K119" s="6" t="s">
        <v>23</v>
      </c>
      <c r="L119" s="6">
        <v>1</v>
      </c>
      <c r="M119" s="6" t="s">
        <v>37</v>
      </c>
      <c r="N119" s="6">
        <v>6.4000000000000001E-2</v>
      </c>
      <c r="O119" s="51">
        <v>180.45099999999999</v>
      </c>
      <c r="P119" s="62" t="s">
        <v>731</v>
      </c>
      <c r="Q119" s="52">
        <v>41018.83</v>
      </c>
    </row>
    <row r="120" spans="1:17" s="49" customFormat="1" ht="12.75">
      <c r="A120" s="97"/>
      <c r="B120" s="6"/>
      <c r="C120" s="6" t="s">
        <v>396</v>
      </c>
      <c r="D120" s="6"/>
      <c r="E120" s="6"/>
      <c r="F120" s="6" t="s">
        <v>18</v>
      </c>
      <c r="G120" s="6" t="s">
        <v>432</v>
      </c>
      <c r="H120" s="3" t="s">
        <v>397</v>
      </c>
      <c r="I120" s="6">
        <v>265</v>
      </c>
      <c r="J120" s="6">
        <v>7788</v>
      </c>
      <c r="K120" s="6" t="s">
        <v>23</v>
      </c>
      <c r="L120" s="6">
        <v>0.91</v>
      </c>
      <c r="M120" s="6" t="s">
        <v>398</v>
      </c>
      <c r="N120" s="6"/>
      <c r="O120" s="51">
        <v>247.22200000000001</v>
      </c>
      <c r="P120" s="62" t="s">
        <v>731</v>
      </c>
      <c r="Q120" s="52">
        <v>61754.87</v>
      </c>
    </row>
    <row r="121" spans="1:17" s="49" customFormat="1" ht="12.75">
      <c r="A121" s="97"/>
      <c r="B121" s="6"/>
      <c r="C121" s="9">
        <f>819/23366</f>
        <v>3.5050928699820252E-2</v>
      </c>
      <c r="D121" s="9"/>
      <c r="E121" s="6"/>
      <c r="F121" s="6" t="s">
        <v>18</v>
      </c>
      <c r="G121" s="6" t="s">
        <v>433</v>
      </c>
      <c r="H121" s="3" t="s">
        <v>399</v>
      </c>
      <c r="I121" s="6">
        <v>297</v>
      </c>
      <c r="J121" s="6">
        <v>7792</v>
      </c>
      <c r="K121" s="6" t="s">
        <v>23</v>
      </c>
      <c r="L121" s="6">
        <v>0.77</v>
      </c>
      <c r="M121" s="6" t="s">
        <v>400</v>
      </c>
      <c r="N121" s="6"/>
      <c r="O121" s="51">
        <v>68.706000000000003</v>
      </c>
      <c r="P121" s="62" t="s">
        <v>731</v>
      </c>
      <c r="Q121" s="52">
        <v>20282.79</v>
      </c>
    </row>
    <row r="122" spans="1:17" s="18" customFormat="1" ht="12" customHeight="1">
      <c r="A122" s="96" t="s">
        <v>747</v>
      </c>
      <c r="B122" s="22" t="s">
        <v>401</v>
      </c>
      <c r="C122" s="22" t="s">
        <v>525</v>
      </c>
      <c r="D122" s="22" t="s">
        <v>522</v>
      </c>
      <c r="E122" s="23">
        <v>13.6</v>
      </c>
      <c r="F122" s="22" t="s">
        <v>53</v>
      </c>
      <c r="G122" s="22" t="s">
        <v>14</v>
      </c>
      <c r="H122" s="36" t="s">
        <v>524</v>
      </c>
      <c r="I122" s="37">
        <v>518</v>
      </c>
      <c r="J122" s="38" t="s">
        <v>179</v>
      </c>
      <c r="K122" s="38" t="s">
        <v>402</v>
      </c>
      <c r="L122" s="37">
        <v>1</v>
      </c>
      <c r="M122" s="37" t="s">
        <v>21</v>
      </c>
      <c r="N122" s="22">
        <v>0.09</v>
      </c>
      <c r="O122" s="54">
        <v>423.512</v>
      </c>
      <c r="P122" s="55">
        <v>4477.82</v>
      </c>
      <c r="Q122" s="57" t="s">
        <v>731</v>
      </c>
    </row>
    <row r="123" spans="1:17" s="18" customFormat="1" ht="12.75">
      <c r="A123" s="96"/>
      <c r="B123" s="22"/>
      <c r="C123" s="22" t="s">
        <v>518</v>
      </c>
      <c r="D123" s="22"/>
      <c r="E123" s="23"/>
      <c r="F123" s="22" t="s">
        <v>53</v>
      </c>
      <c r="G123" s="22" t="s">
        <v>20</v>
      </c>
      <c r="H123" s="36">
        <v>1178</v>
      </c>
      <c r="I123" s="37">
        <v>541</v>
      </c>
      <c r="J123" s="38" t="s">
        <v>53</v>
      </c>
      <c r="K123" s="38" t="s">
        <v>402</v>
      </c>
      <c r="L123" s="37">
        <v>1.08</v>
      </c>
      <c r="M123" s="37" t="s">
        <v>519</v>
      </c>
      <c r="N123" s="22"/>
      <c r="O123" s="54">
        <v>464.18200000000002</v>
      </c>
      <c r="P123" s="55">
        <v>4544.29</v>
      </c>
      <c r="Q123" s="57" t="s">
        <v>731</v>
      </c>
    </row>
    <row r="124" spans="1:17" s="18" customFormat="1" ht="12.75">
      <c r="A124" s="96"/>
      <c r="B124" s="22"/>
      <c r="C124" s="47">
        <f>2702/26556</f>
        <v>0.10174725109203193</v>
      </c>
      <c r="D124" s="22"/>
      <c r="E124" s="23"/>
      <c r="F124" s="22" t="s">
        <v>53</v>
      </c>
      <c r="G124" s="22" t="s">
        <v>22</v>
      </c>
      <c r="H124" s="36">
        <v>1379</v>
      </c>
      <c r="I124" s="37">
        <v>542</v>
      </c>
      <c r="J124" s="38" t="s">
        <v>53</v>
      </c>
      <c r="K124" s="38" t="s">
        <v>402</v>
      </c>
      <c r="L124" s="37">
        <v>1.0900000000000001</v>
      </c>
      <c r="M124" s="37" t="s">
        <v>520</v>
      </c>
      <c r="N124" s="22"/>
      <c r="O124" s="54">
        <v>482.34500000000003</v>
      </c>
      <c r="P124" s="55">
        <v>4678.78</v>
      </c>
      <c r="Q124" s="57" t="s">
        <v>731</v>
      </c>
    </row>
    <row r="125" spans="1:17" s="18" customFormat="1" ht="12.75">
      <c r="A125" s="96"/>
      <c r="B125" s="22"/>
      <c r="C125" s="22"/>
      <c r="D125" s="22"/>
      <c r="E125" s="23"/>
      <c r="F125" s="22" t="s">
        <v>53</v>
      </c>
      <c r="G125" s="22" t="s">
        <v>25</v>
      </c>
      <c r="H125" s="36">
        <v>1581</v>
      </c>
      <c r="I125" s="37">
        <v>546</v>
      </c>
      <c r="J125" s="38" t="s">
        <v>53</v>
      </c>
      <c r="K125" s="38" t="s">
        <v>402</v>
      </c>
      <c r="L125" s="37">
        <v>1.1100000000000001</v>
      </c>
      <c r="M125" s="37" t="s">
        <v>521</v>
      </c>
      <c r="N125" s="22"/>
      <c r="O125" s="54">
        <v>453.75599999999997</v>
      </c>
      <c r="P125" s="55">
        <v>4322.16</v>
      </c>
      <c r="Q125" s="57" t="s">
        <v>731</v>
      </c>
    </row>
    <row r="126" spans="1:17" s="18" customFormat="1" ht="12.75">
      <c r="A126" s="96"/>
      <c r="B126" s="22"/>
      <c r="C126" s="22"/>
      <c r="D126" s="22"/>
      <c r="E126" s="23"/>
      <c r="F126" s="22" t="s">
        <v>53</v>
      </c>
      <c r="G126" s="22" t="s">
        <v>67</v>
      </c>
      <c r="H126" s="36">
        <v>1916</v>
      </c>
      <c r="I126" s="37">
        <v>555</v>
      </c>
      <c r="J126" s="38" t="s">
        <v>53</v>
      </c>
      <c r="K126" s="38" t="s">
        <v>402</v>
      </c>
      <c r="L126" s="37">
        <v>1.1000000000000001</v>
      </c>
      <c r="M126" s="37" t="s">
        <v>521</v>
      </c>
      <c r="N126" s="22"/>
      <c r="O126" s="54">
        <v>454.23500000000001</v>
      </c>
      <c r="P126" s="55">
        <v>4366.0600000000004</v>
      </c>
      <c r="Q126" s="57" t="s">
        <v>731</v>
      </c>
    </row>
    <row r="127" spans="1:17" s="18" customFormat="1" ht="12.75">
      <c r="A127" s="96"/>
      <c r="B127" s="22" t="s">
        <v>401</v>
      </c>
      <c r="C127" s="18" t="s">
        <v>527</v>
      </c>
      <c r="D127" s="22" t="s">
        <v>522</v>
      </c>
      <c r="E127" s="23">
        <v>13.6</v>
      </c>
      <c r="F127" s="22" t="s">
        <v>53</v>
      </c>
      <c r="G127" s="22" t="s">
        <v>14</v>
      </c>
      <c r="H127" s="36" t="s">
        <v>524</v>
      </c>
      <c r="I127" s="18">
        <v>77</v>
      </c>
      <c r="J127" s="38" t="s">
        <v>179</v>
      </c>
      <c r="K127" s="38" t="s">
        <v>402</v>
      </c>
      <c r="L127" s="18">
        <v>1</v>
      </c>
      <c r="M127" s="18" t="s">
        <v>529</v>
      </c>
      <c r="N127" s="18">
        <v>0.23</v>
      </c>
      <c r="O127" s="57" t="s">
        <v>731</v>
      </c>
      <c r="P127" s="57" t="s">
        <v>731</v>
      </c>
      <c r="Q127" s="57" t="s">
        <v>731</v>
      </c>
    </row>
    <row r="128" spans="1:17" s="18" customFormat="1" ht="12.75">
      <c r="A128" s="96"/>
      <c r="B128" s="22"/>
      <c r="C128" s="18" t="s">
        <v>537</v>
      </c>
      <c r="E128" s="23"/>
      <c r="F128" s="22" t="s">
        <v>53</v>
      </c>
      <c r="G128" s="22" t="s">
        <v>20</v>
      </c>
      <c r="H128" s="36">
        <v>1178</v>
      </c>
      <c r="I128" s="18">
        <v>71</v>
      </c>
      <c r="J128" s="38" t="s">
        <v>53</v>
      </c>
      <c r="K128" s="38" t="s">
        <v>402</v>
      </c>
      <c r="L128" s="18">
        <v>0.97</v>
      </c>
      <c r="M128" s="18" t="s">
        <v>530</v>
      </c>
      <c r="O128" s="57" t="s">
        <v>731</v>
      </c>
      <c r="P128" s="57" t="s">
        <v>731</v>
      </c>
      <c r="Q128" s="57" t="s">
        <v>731</v>
      </c>
    </row>
    <row r="129" spans="1:17" s="18" customFormat="1" ht="12.75">
      <c r="A129" s="96"/>
      <c r="B129" s="22"/>
      <c r="C129" s="21">
        <f>383/26556</f>
        <v>1.4422352763970478E-2</v>
      </c>
      <c r="E129" s="23"/>
      <c r="F129" s="22" t="s">
        <v>53</v>
      </c>
      <c r="G129" s="22" t="s">
        <v>22</v>
      </c>
      <c r="H129" s="36">
        <v>1379</v>
      </c>
      <c r="I129" s="18">
        <v>75</v>
      </c>
      <c r="J129" s="38" t="s">
        <v>53</v>
      </c>
      <c r="K129" s="38" t="s">
        <v>402</v>
      </c>
      <c r="L129" s="18">
        <v>1.03</v>
      </c>
      <c r="M129" s="18" t="s">
        <v>531</v>
      </c>
      <c r="O129" s="57" t="s">
        <v>731</v>
      </c>
      <c r="P129" s="57" t="s">
        <v>731</v>
      </c>
      <c r="Q129" s="57" t="s">
        <v>731</v>
      </c>
    </row>
    <row r="130" spans="1:17" s="18" customFormat="1" ht="12.75">
      <c r="A130" s="96"/>
      <c r="B130" s="22"/>
      <c r="E130" s="23"/>
      <c r="F130" s="22" t="s">
        <v>53</v>
      </c>
      <c r="G130" s="22" t="s">
        <v>25</v>
      </c>
      <c r="H130" s="36">
        <v>1581</v>
      </c>
      <c r="I130" s="18">
        <v>73</v>
      </c>
      <c r="J130" s="38" t="s">
        <v>53</v>
      </c>
      <c r="K130" s="38" t="s">
        <v>402</v>
      </c>
      <c r="L130" s="18">
        <v>1.02</v>
      </c>
      <c r="M130" s="18" t="s">
        <v>531</v>
      </c>
      <c r="O130" s="57" t="s">
        <v>731</v>
      </c>
      <c r="P130" s="57" t="s">
        <v>731</v>
      </c>
      <c r="Q130" s="57" t="s">
        <v>731</v>
      </c>
    </row>
    <row r="131" spans="1:17" s="18" customFormat="1" ht="12.75">
      <c r="A131" s="96"/>
      <c r="B131" s="22"/>
      <c r="E131" s="23"/>
      <c r="F131" s="22" t="s">
        <v>53</v>
      </c>
      <c r="G131" s="22" t="s">
        <v>67</v>
      </c>
      <c r="H131" s="36">
        <v>1916</v>
      </c>
      <c r="I131" s="18">
        <v>87</v>
      </c>
      <c r="J131" s="38" t="s">
        <v>53</v>
      </c>
      <c r="K131" s="38" t="s">
        <v>402</v>
      </c>
      <c r="L131" s="18">
        <v>1.2</v>
      </c>
      <c r="M131" s="18" t="s">
        <v>532</v>
      </c>
      <c r="O131" s="57" t="s">
        <v>731</v>
      </c>
      <c r="P131" s="57" t="s">
        <v>731</v>
      </c>
      <c r="Q131" s="57" t="s">
        <v>731</v>
      </c>
    </row>
    <row r="132" spans="1:17" s="18" customFormat="1" ht="12.75">
      <c r="A132" s="96"/>
      <c r="B132" s="22" t="s">
        <v>401</v>
      </c>
      <c r="C132" s="18" t="s">
        <v>528</v>
      </c>
      <c r="D132" s="22" t="s">
        <v>522</v>
      </c>
      <c r="E132" s="70">
        <v>13.6</v>
      </c>
      <c r="F132" s="71" t="s">
        <v>53</v>
      </c>
      <c r="G132" s="71" t="s">
        <v>14</v>
      </c>
      <c r="H132" s="72" t="s">
        <v>523</v>
      </c>
      <c r="I132" s="18">
        <v>33</v>
      </c>
      <c r="J132" s="38" t="s">
        <v>179</v>
      </c>
      <c r="K132" s="38" t="s">
        <v>402</v>
      </c>
      <c r="L132" s="18">
        <v>1</v>
      </c>
      <c r="M132" s="18" t="s">
        <v>37</v>
      </c>
      <c r="N132" s="18">
        <v>0.1</v>
      </c>
      <c r="O132" s="57" t="s">
        <v>731</v>
      </c>
      <c r="P132" s="57" t="s">
        <v>731</v>
      </c>
      <c r="Q132" s="57" t="s">
        <v>731</v>
      </c>
    </row>
    <row r="133" spans="1:17" s="18" customFormat="1" ht="12.75">
      <c r="A133" s="96"/>
      <c r="B133" s="22"/>
      <c r="C133" s="18" t="s">
        <v>538</v>
      </c>
      <c r="E133" s="70"/>
      <c r="F133" s="71" t="s">
        <v>53</v>
      </c>
      <c r="G133" s="71" t="s">
        <v>20</v>
      </c>
      <c r="H133" s="72">
        <v>1178</v>
      </c>
      <c r="I133" s="18">
        <v>45</v>
      </c>
      <c r="J133" s="38" t="s">
        <v>53</v>
      </c>
      <c r="K133" s="38" t="s">
        <v>402</v>
      </c>
      <c r="L133" s="18">
        <v>1.39</v>
      </c>
      <c r="M133" s="18" t="s">
        <v>533</v>
      </c>
      <c r="O133" s="57" t="s">
        <v>731</v>
      </c>
      <c r="P133" s="57" t="s">
        <v>731</v>
      </c>
      <c r="Q133" s="57" t="s">
        <v>731</v>
      </c>
    </row>
    <row r="134" spans="1:17" s="18" customFormat="1" ht="12.75">
      <c r="A134" s="96"/>
      <c r="B134" s="22"/>
      <c r="C134" s="39">
        <f>196/26556</f>
        <v>7.3806296128935082E-3</v>
      </c>
      <c r="E134" s="70"/>
      <c r="F134" s="71" t="s">
        <v>53</v>
      </c>
      <c r="G134" s="71" t="s">
        <v>22</v>
      </c>
      <c r="H134" s="72">
        <v>1379</v>
      </c>
      <c r="I134" s="18">
        <v>33</v>
      </c>
      <c r="J134" s="38" t="s">
        <v>53</v>
      </c>
      <c r="K134" s="38" t="s">
        <v>402</v>
      </c>
      <c r="L134" s="18">
        <v>1.03</v>
      </c>
      <c r="M134" s="18" t="s">
        <v>534</v>
      </c>
      <c r="O134" s="57" t="s">
        <v>731</v>
      </c>
      <c r="P134" s="57" t="s">
        <v>731</v>
      </c>
      <c r="Q134" s="57" t="s">
        <v>731</v>
      </c>
    </row>
    <row r="135" spans="1:17" s="18" customFormat="1" ht="12.75">
      <c r="A135" s="96"/>
      <c r="B135" s="22"/>
      <c r="E135" s="70"/>
      <c r="F135" s="71" t="s">
        <v>53</v>
      </c>
      <c r="G135" s="71" t="s">
        <v>25</v>
      </c>
      <c r="H135" s="72">
        <v>1581</v>
      </c>
      <c r="I135" s="18">
        <v>39</v>
      </c>
      <c r="J135" s="38" t="s">
        <v>53</v>
      </c>
      <c r="K135" s="38" t="s">
        <v>402</v>
      </c>
      <c r="L135" s="18">
        <v>1.27</v>
      </c>
      <c r="M135" s="18" t="s">
        <v>535</v>
      </c>
      <c r="O135" s="57" t="s">
        <v>731</v>
      </c>
      <c r="P135" s="57" t="s">
        <v>731</v>
      </c>
      <c r="Q135" s="57" t="s">
        <v>731</v>
      </c>
    </row>
    <row r="136" spans="1:17" s="18" customFormat="1" ht="12.75">
      <c r="A136" s="96"/>
      <c r="B136" s="22"/>
      <c r="E136" s="70"/>
      <c r="F136" s="71" t="s">
        <v>53</v>
      </c>
      <c r="G136" s="71" t="s">
        <v>67</v>
      </c>
      <c r="H136" s="72">
        <v>1916</v>
      </c>
      <c r="I136" s="18">
        <v>46</v>
      </c>
      <c r="J136" s="38" t="s">
        <v>53</v>
      </c>
      <c r="K136" s="38" t="s">
        <v>402</v>
      </c>
      <c r="L136" s="18">
        <v>1.56</v>
      </c>
      <c r="M136" s="18" t="s">
        <v>536</v>
      </c>
      <c r="O136" s="57" t="s">
        <v>731</v>
      </c>
      <c r="P136" s="57" t="s">
        <v>731</v>
      </c>
      <c r="Q136" s="57" t="s">
        <v>731</v>
      </c>
    </row>
    <row r="137" spans="1:17" s="49" customFormat="1" ht="12.75">
      <c r="A137" s="97" t="s">
        <v>343</v>
      </c>
      <c r="B137" s="6" t="s">
        <v>329</v>
      </c>
      <c r="C137" s="6" t="s">
        <v>344</v>
      </c>
      <c r="D137" s="6" t="s">
        <v>330</v>
      </c>
      <c r="E137" s="3">
        <v>11</v>
      </c>
      <c r="F137" s="6" t="s">
        <v>345</v>
      </c>
      <c r="G137" s="6" t="s">
        <v>14</v>
      </c>
      <c r="H137" s="3" t="s">
        <v>346</v>
      </c>
      <c r="I137" s="6">
        <v>101</v>
      </c>
      <c r="J137" s="6">
        <v>5986</v>
      </c>
      <c r="K137" s="6" t="s">
        <v>23</v>
      </c>
      <c r="L137" s="6">
        <v>1</v>
      </c>
      <c r="M137" s="6" t="s">
        <v>37</v>
      </c>
      <c r="N137" s="6">
        <v>0.22</v>
      </c>
      <c r="O137" s="53" t="s">
        <v>731</v>
      </c>
      <c r="P137" s="53" t="s">
        <v>731</v>
      </c>
      <c r="Q137" s="53" t="s">
        <v>731</v>
      </c>
    </row>
    <row r="138" spans="1:17" s="49" customFormat="1" ht="12.75">
      <c r="A138" s="97"/>
      <c r="B138" s="6"/>
      <c r="C138" s="6" t="s">
        <v>347</v>
      </c>
      <c r="D138" s="6"/>
      <c r="E138" s="3"/>
      <c r="F138" s="6" t="s">
        <v>18</v>
      </c>
      <c r="G138" s="6" t="s">
        <v>20</v>
      </c>
      <c r="H138" s="3">
        <v>675</v>
      </c>
      <c r="I138" s="6">
        <v>91</v>
      </c>
      <c r="J138" s="6">
        <v>5993</v>
      </c>
      <c r="K138" s="6" t="s">
        <v>23</v>
      </c>
      <c r="L138" s="6">
        <v>0.94</v>
      </c>
      <c r="M138" s="6" t="s">
        <v>348</v>
      </c>
      <c r="N138" s="6"/>
      <c r="O138" s="53" t="s">
        <v>731</v>
      </c>
      <c r="P138" s="53" t="s">
        <v>731</v>
      </c>
      <c r="Q138" s="53" t="s">
        <v>731</v>
      </c>
    </row>
    <row r="139" spans="1:17" s="49" customFormat="1" ht="12.75">
      <c r="A139" s="97"/>
      <c r="B139" s="6"/>
      <c r="C139" s="9">
        <f>354/23980</f>
        <v>1.4762301918265221E-2</v>
      </c>
      <c r="D139" s="9"/>
      <c r="E139" s="3"/>
      <c r="F139" s="6" t="s">
        <v>18</v>
      </c>
      <c r="G139" s="6" t="s">
        <v>22</v>
      </c>
      <c r="H139" s="3">
        <v>820</v>
      </c>
      <c r="I139" s="6">
        <v>70</v>
      </c>
      <c r="J139" s="6">
        <v>5998</v>
      </c>
      <c r="K139" s="6" t="s">
        <v>23</v>
      </c>
      <c r="L139" s="6">
        <v>0.69</v>
      </c>
      <c r="M139" s="6" t="s">
        <v>349</v>
      </c>
      <c r="N139" s="6"/>
      <c r="O139" s="53" t="s">
        <v>731</v>
      </c>
      <c r="P139" s="53" t="s">
        <v>731</v>
      </c>
      <c r="Q139" s="53" t="s">
        <v>731</v>
      </c>
    </row>
    <row r="140" spans="1:17" s="49" customFormat="1" ht="12.75">
      <c r="A140" s="97"/>
      <c r="B140" s="6"/>
      <c r="C140" s="6"/>
      <c r="D140" s="6"/>
      <c r="E140" s="3"/>
      <c r="F140" s="6" t="s">
        <v>18</v>
      </c>
      <c r="G140" s="6" t="s">
        <v>25</v>
      </c>
      <c r="H140" s="3">
        <v>1130</v>
      </c>
      <c r="I140" s="6">
        <v>92</v>
      </c>
      <c r="J140" s="6">
        <v>6003</v>
      </c>
      <c r="K140" s="6" t="s">
        <v>23</v>
      </c>
      <c r="L140" s="6">
        <v>0.85</v>
      </c>
      <c r="M140" s="6" t="s">
        <v>350</v>
      </c>
      <c r="N140" s="6"/>
      <c r="O140" s="53" t="s">
        <v>731</v>
      </c>
      <c r="P140" s="53" t="s">
        <v>731</v>
      </c>
      <c r="Q140" s="53" t="s">
        <v>731</v>
      </c>
    </row>
    <row r="141" spans="1:17" s="49" customFormat="1" ht="12.75">
      <c r="A141" s="97"/>
      <c r="B141" s="6" t="s">
        <v>329</v>
      </c>
      <c r="C141" s="6" t="s">
        <v>12</v>
      </c>
      <c r="D141" s="6" t="s">
        <v>330</v>
      </c>
      <c r="E141" s="3">
        <v>11</v>
      </c>
      <c r="F141" s="6" t="s">
        <v>18</v>
      </c>
      <c r="G141" s="6" t="s">
        <v>14</v>
      </c>
      <c r="H141" s="3" t="s">
        <v>351</v>
      </c>
      <c r="I141" s="6">
        <v>65</v>
      </c>
      <c r="J141" s="6">
        <v>5986</v>
      </c>
      <c r="K141" s="6" t="s">
        <v>23</v>
      </c>
      <c r="L141" s="6">
        <v>1</v>
      </c>
      <c r="M141" s="6" t="s">
        <v>37</v>
      </c>
      <c r="N141" s="6">
        <v>0.62</v>
      </c>
      <c r="O141" s="51">
        <v>54.814399999999999</v>
      </c>
      <c r="P141" s="53" t="s">
        <v>731</v>
      </c>
      <c r="Q141" s="52">
        <v>63495.199999999997</v>
      </c>
    </row>
    <row r="142" spans="1:17" s="49" customFormat="1" ht="12.75">
      <c r="A142" s="97"/>
      <c r="B142" s="6"/>
      <c r="C142" s="6" t="s">
        <v>352</v>
      </c>
      <c r="D142" s="6"/>
      <c r="E142" s="3"/>
      <c r="F142" s="6" t="s">
        <v>18</v>
      </c>
      <c r="G142" s="6" t="s">
        <v>20</v>
      </c>
      <c r="H142" s="3">
        <v>675</v>
      </c>
      <c r="I142" s="6">
        <v>75</v>
      </c>
      <c r="J142" s="6">
        <v>5993</v>
      </c>
      <c r="K142" s="6" t="s">
        <v>36</v>
      </c>
      <c r="L142" s="6">
        <v>1.34</v>
      </c>
      <c r="M142" s="6" t="s">
        <v>353</v>
      </c>
      <c r="N142" s="6"/>
      <c r="O142" s="51">
        <v>82.599800000000002</v>
      </c>
      <c r="P142" s="53" t="s">
        <v>731</v>
      </c>
      <c r="Q142" s="52">
        <v>71403.66</v>
      </c>
    </row>
    <row r="143" spans="1:17" s="49" customFormat="1" ht="12.75">
      <c r="A143" s="97"/>
      <c r="B143" s="6"/>
      <c r="C143" s="9">
        <f>260/23980</f>
        <v>1.0842368640533779E-2</v>
      </c>
      <c r="D143" s="9"/>
      <c r="E143" s="3"/>
      <c r="F143" s="6" t="s">
        <v>18</v>
      </c>
      <c r="G143" s="6" t="s">
        <v>22</v>
      </c>
      <c r="H143" s="3">
        <v>820</v>
      </c>
      <c r="I143" s="6">
        <v>61</v>
      </c>
      <c r="J143" s="6">
        <v>5998</v>
      </c>
      <c r="K143" s="6" t="s">
        <v>23</v>
      </c>
      <c r="L143" s="6">
        <v>1.1499999999999999</v>
      </c>
      <c r="M143" s="6" t="s">
        <v>354</v>
      </c>
      <c r="N143" s="6"/>
      <c r="O143" s="51">
        <v>62.918500000000002</v>
      </c>
      <c r="P143" s="53" t="s">
        <v>731</v>
      </c>
      <c r="Q143" s="52">
        <v>63376.26</v>
      </c>
    </row>
    <row r="144" spans="1:17" s="49" customFormat="1" ht="12.75">
      <c r="A144" s="97"/>
      <c r="B144" s="6"/>
      <c r="C144" s="6"/>
      <c r="D144" s="6"/>
      <c r="E144" s="3"/>
      <c r="F144" s="6" t="s">
        <v>18</v>
      </c>
      <c r="G144" s="6" t="s">
        <v>25</v>
      </c>
      <c r="H144" s="3">
        <v>1130</v>
      </c>
      <c r="I144" s="6">
        <v>66</v>
      </c>
      <c r="J144" s="6">
        <v>6003</v>
      </c>
      <c r="K144" s="6" t="s">
        <v>23</v>
      </c>
      <c r="L144" s="6">
        <v>1.18</v>
      </c>
      <c r="M144" s="6" t="s">
        <v>355</v>
      </c>
      <c r="N144" s="6"/>
      <c r="O144" s="51">
        <v>57.134999999999998</v>
      </c>
      <c r="P144" s="53" t="s">
        <v>731</v>
      </c>
      <c r="Q144" s="52">
        <v>56087.54</v>
      </c>
    </row>
    <row r="145" spans="1:17" s="49" customFormat="1" ht="12.75">
      <c r="A145" s="97"/>
      <c r="B145" s="6" t="s">
        <v>329</v>
      </c>
      <c r="C145" s="6" t="s">
        <v>426</v>
      </c>
      <c r="D145" s="6" t="s">
        <v>330</v>
      </c>
      <c r="E145" s="3">
        <v>11</v>
      </c>
      <c r="F145" s="6" t="s">
        <v>18</v>
      </c>
      <c r="G145" s="6" t="s">
        <v>14</v>
      </c>
      <c r="H145" s="5" t="s">
        <v>351</v>
      </c>
      <c r="I145" s="7">
        <v>58</v>
      </c>
      <c r="J145" s="7">
        <v>5986</v>
      </c>
      <c r="K145" s="7" t="s">
        <v>23</v>
      </c>
      <c r="L145" s="7">
        <v>1</v>
      </c>
      <c r="M145" s="7" t="s">
        <v>37</v>
      </c>
      <c r="N145" s="6">
        <v>0.97</v>
      </c>
      <c r="O145" s="51">
        <v>51.557600000000001</v>
      </c>
      <c r="P145" s="53" t="s">
        <v>731</v>
      </c>
      <c r="Q145" s="52">
        <v>64178.239999999998</v>
      </c>
    </row>
    <row r="146" spans="1:17" s="49" customFormat="1" ht="12.75">
      <c r="A146" s="97"/>
      <c r="B146" s="6"/>
      <c r="C146" s="6" t="s">
        <v>357</v>
      </c>
      <c r="D146" s="6"/>
      <c r="E146" s="3"/>
      <c r="F146" s="6" t="s">
        <v>18</v>
      </c>
      <c r="G146" s="6" t="s">
        <v>20</v>
      </c>
      <c r="H146" s="5">
        <v>675</v>
      </c>
      <c r="I146" s="7">
        <v>79</v>
      </c>
      <c r="J146" s="7">
        <v>5993</v>
      </c>
      <c r="K146" s="7" t="s">
        <v>23</v>
      </c>
      <c r="L146" s="7">
        <v>1.5</v>
      </c>
      <c r="M146" s="7" t="s">
        <v>358</v>
      </c>
      <c r="N146" s="6"/>
      <c r="O146" s="51">
        <v>87.137299999999996</v>
      </c>
      <c r="P146" s="53" t="s">
        <v>731</v>
      </c>
      <c r="Q146" s="52">
        <v>72311.520000000004</v>
      </c>
    </row>
    <row r="147" spans="1:17" s="49" customFormat="1" ht="12.75">
      <c r="A147" s="97"/>
      <c r="B147" s="6"/>
      <c r="C147" s="10">
        <f>260/23980</f>
        <v>1.0842368640533779E-2</v>
      </c>
      <c r="D147" s="6"/>
      <c r="E147" s="3"/>
      <c r="F147" s="6" t="s">
        <v>18</v>
      </c>
      <c r="G147" s="6" t="s">
        <v>22</v>
      </c>
      <c r="H147" s="5">
        <v>820</v>
      </c>
      <c r="I147" s="7">
        <v>64</v>
      </c>
      <c r="J147" s="7">
        <v>5998</v>
      </c>
      <c r="K147" s="7" t="s">
        <v>23</v>
      </c>
      <c r="L147" s="7">
        <v>1.24</v>
      </c>
      <c r="M147" s="7" t="s">
        <v>359</v>
      </c>
      <c r="N147" s="6"/>
      <c r="O147" s="51">
        <v>64.08</v>
      </c>
      <c r="P147" s="53" t="s">
        <v>731</v>
      </c>
      <c r="Q147" s="52">
        <v>64327.29</v>
      </c>
    </row>
    <row r="148" spans="1:17" s="49" customFormat="1" ht="12.75">
      <c r="A148" s="97"/>
      <c r="B148" s="6"/>
      <c r="C148" s="6"/>
      <c r="D148" s="6"/>
      <c r="E148" s="3"/>
      <c r="F148" s="6" t="s">
        <v>18</v>
      </c>
      <c r="G148" s="6" t="s">
        <v>25</v>
      </c>
      <c r="H148" s="5">
        <v>1130</v>
      </c>
      <c r="I148" s="7">
        <v>59</v>
      </c>
      <c r="J148" s="7">
        <v>6003</v>
      </c>
      <c r="K148" s="7" t="s">
        <v>23</v>
      </c>
      <c r="L148" s="7">
        <v>1.1200000000000001</v>
      </c>
      <c r="M148" s="7" t="s">
        <v>360</v>
      </c>
      <c r="N148" s="6"/>
      <c r="O148" s="51">
        <v>50.639800000000001</v>
      </c>
      <c r="P148" s="53" t="s">
        <v>731</v>
      </c>
      <c r="Q148" s="52">
        <v>56281.86</v>
      </c>
    </row>
    <row r="149" spans="1:17" s="76" customFormat="1" ht="12.75">
      <c r="A149" s="96" t="s">
        <v>748</v>
      </c>
      <c r="B149" s="29" t="s">
        <v>329</v>
      </c>
      <c r="C149" s="29" t="s">
        <v>539</v>
      </c>
      <c r="D149" s="29" t="s">
        <v>13</v>
      </c>
      <c r="E149" s="30">
        <v>10</v>
      </c>
      <c r="F149" s="29" t="s">
        <v>53</v>
      </c>
      <c r="G149" s="29" t="s">
        <v>545</v>
      </c>
      <c r="H149" s="41" t="s">
        <v>53</v>
      </c>
      <c r="I149" s="42" t="s">
        <v>53</v>
      </c>
      <c r="J149" s="31" t="s">
        <v>53</v>
      </c>
      <c r="K149" s="31" t="s">
        <v>402</v>
      </c>
      <c r="L149" s="44">
        <v>1</v>
      </c>
      <c r="M149" s="44" t="s">
        <v>548</v>
      </c>
      <c r="N149" s="29" t="s">
        <v>53</v>
      </c>
      <c r="O149" s="57" t="s">
        <v>731</v>
      </c>
      <c r="P149" s="57" t="s">
        <v>731</v>
      </c>
      <c r="Q149" s="57" t="s">
        <v>731</v>
      </c>
    </row>
    <row r="150" spans="1:17" s="76" customFormat="1" ht="12.75">
      <c r="A150" s="96"/>
      <c r="B150" s="29"/>
      <c r="C150" s="29" t="s">
        <v>550</v>
      </c>
      <c r="D150" s="29"/>
      <c r="E150" s="30"/>
      <c r="F150" s="29" t="s">
        <v>53</v>
      </c>
      <c r="G150" s="29" t="s">
        <v>546</v>
      </c>
      <c r="H150" s="41" t="s">
        <v>53</v>
      </c>
      <c r="I150" s="42" t="s">
        <v>53</v>
      </c>
      <c r="J150" s="31" t="s">
        <v>53</v>
      </c>
      <c r="K150" s="31" t="s">
        <v>402</v>
      </c>
      <c r="L150" s="44">
        <v>0.86599999999999999</v>
      </c>
      <c r="M150" s="44" t="s">
        <v>540</v>
      </c>
      <c r="N150" s="29"/>
      <c r="O150" s="57" t="s">
        <v>731</v>
      </c>
      <c r="P150" s="57" t="s">
        <v>731</v>
      </c>
      <c r="Q150" s="57" t="s">
        <v>731</v>
      </c>
    </row>
    <row r="151" spans="1:17" s="76" customFormat="1" ht="12.75">
      <c r="A151" s="96"/>
      <c r="B151" s="29"/>
      <c r="C151" s="45">
        <f>130/689</f>
        <v>0.18867924528301888</v>
      </c>
      <c r="D151" s="29"/>
      <c r="E151" s="30"/>
      <c r="F151" s="29" t="s">
        <v>53</v>
      </c>
      <c r="G151" s="29" t="s">
        <v>547</v>
      </c>
      <c r="H151" s="41" t="s">
        <v>53</v>
      </c>
      <c r="I151" s="42" t="s">
        <v>53</v>
      </c>
      <c r="J151" s="31" t="s">
        <v>53</v>
      </c>
      <c r="K151" s="31" t="s">
        <v>402</v>
      </c>
      <c r="L151" s="44">
        <v>1.1399999999999999</v>
      </c>
      <c r="M151" s="44" t="s">
        <v>541</v>
      </c>
      <c r="N151" s="29"/>
      <c r="O151" s="57" t="s">
        <v>731</v>
      </c>
      <c r="P151" s="57" t="s">
        <v>731</v>
      </c>
      <c r="Q151" s="57" t="s">
        <v>731</v>
      </c>
    </row>
    <row r="152" spans="1:17" s="76" customFormat="1" ht="12.75">
      <c r="A152" s="96"/>
      <c r="B152" s="29" t="s">
        <v>329</v>
      </c>
      <c r="C152" s="29" t="s">
        <v>544</v>
      </c>
      <c r="D152" s="29" t="s">
        <v>13</v>
      </c>
      <c r="E152" s="30">
        <v>10</v>
      </c>
      <c r="F152" s="29" t="s">
        <v>53</v>
      </c>
      <c r="G152" s="29" t="s">
        <v>545</v>
      </c>
      <c r="H152" s="41" t="s">
        <v>53</v>
      </c>
      <c r="I152" s="42" t="s">
        <v>53</v>
      </c>
      <c r="J152" s="43" t="s">
        <v>53</v>
      </c>
      <c r="K152" s="43" t="s">
        <v>402</v>
      </c>
      <c r="L152" s="44">
        <v>1</v>
      </c>
      <c r="M152" s="44" t="s">
        <v>548</v>
      </c>
      <c r="N152" s="29" t="s">
        <v>53</v>
      </c>
      <c r="O152" s="57" t="s">
        <v>731</v>
      </c>
      <c r="P152" s="57" t="s">
        <v>731</v>
      </c>
      <c r="Q152" s="57" t="s">
        <v>731</v>
      </c>
    </row>
    <row r="153" spans="1:17" s="76" customFormat="1" ht="12.75">
      <c r="A153" s="96"/>
      <c r="B153" s="29"/>
      <c r="C153" s="29" t="s">
        <v>549</v>
      </c>
      <c r="D153" s="29"/>
      <c r="E153" s="30"/>
      <c r="F153" s="29" t="s">
        <v>53</v>
      </c>
      <c r="G153" s="29" t="s">
        <v>546</v>
      </c>
      <c r="H153" s="41" t="s">
        <v>53</v>
      </c>
      <c r="I153" s="42" t="s">
        <v>53</v>
      </c>
      <c r="J153" s="43" t="s">
        <v>53</v>
      </c>
      <c r="K153" s="43" t="s">
        <v>402</v>
      </c>
      <c r="L153" s="44">
        <v>0.98099999999999998</v>
      </c>
      <c r="M153" s="44" t="s">
        <v>542</v>
      </c>
      <c r="N153" s="29"/>
      <c r="O153" s="57" t="s">
        <v>731</v>
      </c>
      <c r="P153" s="57" t="s">
        <v>731</v>
      </c>
      <c r="Q153" s="57" t="s">
        <v>731</v>
      </c>
    </row>
    <row r="154" spans="1:17" s="76" customFormat="1" ht="12.75">
      <c r="A154" s="96"/>
      <c r="B154" s="29"/>
      <c r="C154" s="45">
        <f>70/680</f>
        <v>0.10294117647058823</v>
      </c>
      <c r="D154" s="29"/>
      <c r="E154" s="30"/>
      <c r="F154" s="29" t="s">
        <v>53</v>
      </c>
      <c r="G154" s="29" t="s">
        <v>547</v>
      </c>
      <c r="H154" s="41" t="s">
        <v>53</v>
      </c>
      <c r="I154" s="42" t="s">
        <v>53</v>
      </c>
      <c r="J154" s="43" t="s">
        <v>53</v>
      </c>
      <c r="K154" s="43" t="s">
        <v>402</v>
      </c>
      <c r="L154" s="44">
        <v>1.34</v>
      </c>
      <c r="M154" s="44" t="s">
        <v>543</v>
      </c>
      <c r="N154" s="29"/>
      <c r="O154" s="57" t="s">
        <v>731</v>
      </c>
      <c r="P154" s="57" t="s">
        <v>731</v>
      </c>
      <c r="Q154" s="57" t="s">
        <v>731</v>
      </c>
    </row>
    <row r="155" spans="1:17" s="49" customFormat="1" ht="12.75">
      <c r="A155" s="97" t="s">
        <v>735</v>
      </c>
      <c r="B155" s="49" t="s">
        <v>11</v>
      </c>
      <c r="C155" s="49" t="s">
        <v>12</v>
      </c>
      <c r="D155" s="77" t="s">
        <v>13</v>
      </c>
      <c r="E155" s="78">
        <v>19</v>
      </c>
      <c r="F155" s="77">
        <v>50150</v>
      </c>
      <c r="G155" s="49" t="s">
        <v>14</v>
      </c>
      <c r="H155" s="78" t="s">
        <v>15</v>
      </c>
      <c r="I155" s="77">
        <v>219</v>
      </c>
      <c r="J155" s="49">
        <v>2058</v>
      </c>
      <c r="K155" s="49" t="s">
        <v>16</v>
      </c>
      <c r="L155" s="77">
        <v>1.63</v>
      </c>
      <c r="M155" s="77" t="s">
        <v>17</v>
      </c>
      <c r="N155" s="77" t="s">
        <v>54</v>
      </c>
      <c r="O155" s="79">
        <v>220.13</v>
      </c>
      <c r="P155" s="49" t="s">
        <v>732</v>
      </c>
      <c r="Q155" s="80">
        <v>39452.239999999998</v>
      </c>
    </row>
    <row r="156" spans="1:17" s="49" customFormat="1" ht="12.75">
      <c r="A156" s="97"/>
      <c r="C156" s="49" t="s">
        <v>19</v>
      </c>
      <c r="D156" s="77"/>
      <c r="E156" s="78"/>
      <c r="F156" s="77">
        <v>743403</v>
      </c>
      <c r="G156" s="49" t="s">
        <v>20</v>
      </c>
      <c r="H156" s="78">
        <v>840</v>
      </c>
      <c r="I156" s="77">
        <v>2576</v>
      </c>
      <c r="J156" s="49">
        <v>38388</v>
      </c>
      <c r="K156" s="49" t="s">
        <v>16</v>
      </c>
      <c r="L156" s="77">
        <v>1</v>
      </c>
      <c r="M156" s="77" t="s">
        <v>21</v>
      </c>
      <c r="N156" s="77"/>
      <c r="O156" s="81">
        <v>2405.86</v>
      </c>
      <c r="P156" s="49" t="s">
        <v>732</v>
      </c>
      <c r="Q156" s="80">
        <v>702841.34</v>
      </c>
    </row>
    <row r="157" spans="1:17" s="49" customFormat="1" ht="12.75">
      <c r="A157" s="97"/>
      <c r="C157" s="82">
        <f>3862/61433</f>
        <v>6.2865235296990216E-2</v>
      </c>
      <c r="D157" s="77"/>
      <c r="E157" s="78"/>
      <c r="F157" s="77">
        <v>292899</v>
      </c>
      <c r="G157" s="49" t="s">
        <v>22</v>
      </c>
      <c r="H157" s="78">
        <v>1088</v>
      </c>
      <c r="I157" s="77">
        <v>1025</v>
      </c>
      <c r="J157" s="49">
        <v>19746</v>
      </c>
      <c r="K157" s="49" t="s">
        <v>23</v>
      </c>
      <c r="L157" s="77">
        <v>1.01</v>
      </c>
      <c r="M157" s="77" t="s">
        <v>24</v>
      </c>
      <c r="N157" s="77"/>
      <c r="O157" s="79">
        <v>984.44</v>
      </c>
      <c r="P157" s="49" t="s">
        <v>732</v>
      </c>
      <c r="Q157" s="80">
        <v>284743.43</v>
      </c>
    </row>
    <row r="158" spans="1:17" s="49" customFormat="1" ht="12.75">
      <c r="A158" s="97"/>
      <c r="D158" s="77"/>
      <c r="E158" s="78"/>
      <c r="F158" s="77">
        <v>8428</v>
      </c>
      <c r="G158" s="49" t="s">
        <v>25</v>
      </c>
      <c r="H158" s="78">
        <v>1244</v>
      </c>
      <c r="I158" s="77">
        <v>42</v>
      </c>
      <c r="J158" s="49">
        <v>1241</v>
      </c>
      <c r="K158" s="49" t="s">
        <v>23</v>
      </c>
      <c r="L158" s="77">
        <v>1.49</v>
      </c>
      <c r="M158" s="77" t="s">
        <v>26</v>
      </c>
      <c r="N158" s="77"/>
      <c r="O158" s="79">
        <v>40.85</v>
      </c>
      <c r="P158" s="49" t="s">
        <v>732</v>
      </c>
      <c r="Q158" s="80">
        <v>8009.45</v>
      </c>
    </row>
    <row r="159" spans="1:17" s="49" customFormat="1" ht="12.75">
      <c r="A159" s="97"/>
      <c r="B159" s="49" t="s">
        <v>11</v>
      </c>
      <c r="C159" s="49" t="s">
        <v>27</v>
      </c>
      <c r="D159" s="77" t="s">
        <v>13</v>
      </c>
      <c r="E159" s="78">
        <v>19</v>
      </c>
      <c r="F159" s="77">
        <v>50150</v>
      </c>
      <c r="G159" s="49" t="s">
        <v>14</v>
      </c>
      <c r="H159" s="78" t="s">
        <v>15</v>
      </c>
      <c r="I159" s="77">
        <v>113</v>
      </c>
      <c r="J159" s="49">
        <v>2058</v>
      </c>
      <c r="K159" s="49" t="s">
        <v>23</v>
      </c>
      <c r="L159" s="77">
        <v>1.65</v>
      </c>
      <c r="M159" s="77" t="s">
        <v>28</v>
      </c>
      <c r="N159" s="77" t="s">
        <v>18</v>
      </c>
      <c r="O159" s="49" t="s">
        <v>732</v>
      </c>
      <c r="P159" s="49" t="s">
        <v>732</v>
      </c>
      <c r="Q159" s="49" t="s">
        <v>732</v>
      </c>
    </row>
    <row r="160" spans="1:17" s="49" customFormat="1" ht="12.75">
      <c r="A160" s="97"/>
      <c r="C160" s="49" t="s">
        <v>29</v>
      </c>
      <c r="D160" s="77"/>
      <c r="E160" s="78"/>
      <c r="F160" s="77">
        <v>743403</v>
      </c>
      <c r="G160" s="49" t="s">
        <v>20</v>
      </c>
      <c r="H160" s="78">
        <v>840</v>
      </c>
      <c r="I160" s="77">
        <v>1274</v>
      </c>
      <c r="J160" s="49">
        <v>38388</v>
      </c>
      <c r="K160" s="49" t="s">
        <v>23</v>
      </c>
      <c r="L160" s="77">
        <v>1</v>
      </c>
      <c r="M160" s="77" t="s">
        <v>21</v>
      </c>
      <c r="N160" s="77"/>
      <c r="O160" s="49" t="s">
        <v>732</v>
      </c>
      <c r="P160" s="49" t="s">
        <v>732</v>
      </c>
      <c r="Q160" s="49" t="s">
        <v>732</v>
      </c>
    </row>
    <row r="161" spans="1:17" s="49" customFormat="1" ht="12.75">
      <c r="A161" s="97"/>
      <c r="C161" s="82">
        <f>1932/61433</f>
        <v>3.1448895544739799E-2</v>
      </c>
      <c r="D161" s="77"/>
      <c r="E161" s="78"/>
      <c r="F161" s="77">
        <v>292899</v>
      </c>
      <c r="G161" s="49" t="s">
        <v>22</v>
      </c>
      <c r="H161" s="78">
        <v>1088</v>
      </c>
      <c r="I161" s="77">
        <v>515</v>
      </c>
      <c r="J161" s="49">
        <v>19746</v>
      </c>
      <c r="K161" s="49" t="s">
        <v>23</v>
      </c>
      <c r="L161" s="77">
        <v>1.03</v>
      </c>
      <c r="M161" s="77" t="s">
        <v>30</v>
      </c>
      <c r="N161" s="77"/>
      <c r="O161" s="49" t="s">
        <v>732</v>
      </c>
      <c r="P161" s="49" t="s">
        <v>732</v>
      </c>
      <c r="Q161" s="49" t="s">
        <v>732</v>
      </c>
    </row>
    <row r="162" spans="1:17" s="49" customFormat="1" ht="12.75">
      <c r="A162" s="97"/>
      <c r="D162" s="77"/>
      <c r="E162" s="78"/>
      <c r="F162" s="77">
        <v>8428</v>
      </c>
      <c r="G162" s="49" t="s">
        <v>25</v>
      </c>
      <c r="H162" s="78">
        <v>1244</v>
      </c>
      <c r="I162" s="77">
        <v>30</v>
      </c>
      <c r="J162" s="49">
        <v>1241</v>
      </c>
      <c r="K162" s="49" t="s">
        <v>23</v>
      </c>
      <c r="L162" s="77">
        <v>2.14</v>
      </c>
      <c r="M162" s="77" t="s">
        <v>31</v>
      </c>
      <c r="N162" s="77"/>
      <c r="O162" s="49" t="s">
        <v>732</v>
      </c>
      <c r="P162" s="49" t="s">
        <v>732</v>
      </c>
      <c r="Q162" s="49" t="s">
        <v>732</v>
      </c>
    </row>
    <row r="163" spans="1:17" s="49" customFormat="1" ht="12.75">
      <c r="A163" s="97"/>
      <c r="B163" s="49" t="s">
        <v>11</v>
      </c>
      <c r="C163" s="49" t="s">
        <v>55</v>
      </c>
      <c r="D163" s="49" t="s">
        <v>56</v>
      </c>
      <c r="E163" s="83">
        <v>19</v>
      </c>
      <c r="F163" s="77">
        <v>50150</v>
      </c>
      <c r="G163" s="49" t="s">
        <v>14</v>
      </c>
      <c r="H163" s="83">
        <v>533</v>
      </c>
      <c r="I163" s="69">
        <v>57</v>
      </c>
      <c r="J163" s="49">
        <v>2058</v>
      </c>
      <c r="K163" s="49" t="s">
        <v>23</v>
      </c>
      <c r="L163" s="69">
        <v>1.5</v>
      </c>
      <c r="M163" s="69" t="s">
        <v>44</v>
      </c>
      <c r="N163" s="69" t="s">
        <v>18</v>
      </c>
      <c r="O163" s="49" t="s">
        <v>732</v>
      </c>
      <c r="P163" s="49" t="s">
        <v>732</v>
      </c>
      <c r="Q163" s="49" t="s">
        <v>732</v>
      </c>
    </row>
    <row r="164" spans="1:17" s="49" customFormat="1" ht="12.75">
      <c r="A164" s="97"/>
      <c r="B164" s="69"/>
      <c r="C164" s="49" t="s">
        <v>46</v>
      </c>
      <c r="E164" s="83"/>
      <c r="F164" s="77">
        <v>743403</v>
      </c>
      <c r="G164" s="49" t="s">
        <v>20</v>
      </c>
      <c r="H164" s="83">
        <v>840</v>
      </c>
      <c r="I164" s="69">
        <v>740</v>
      </c>
      <c r="J164" s="49">
        <v>38388</v>
      </c>
      <c r="K164" s="49" t="s">
        <v>23</v>
      </c>
      <c r="L164" s="69">
        <v>1</v>
      </c>
      <c r="M164" s="69" t="s">
        <v>21</v>
      </c>
      <c r="N164" s="69"/>
      <c r="O164" s="49" t="s">
        <v>732</v>
      </c>
      <c r="P164" s="49" t="s">
        <v>732</v>
      </c>
      <c r="Q164" s="49" t="s">
        <v>732</v>
      </c>
    </row>
    <row r="165" spans="1:17" s="49" customFormat="1" ht="12.75">
      <c r="A165" s="97"/>
      <c r="B165" s="69"/>
      <c r="C165" s="84">
        <f>1100/61433</f>
        <v>1.7905685869158271E-2</v>
      </c>
      <c r="E165" s="83"/>
      <c r="F165" s="77">
        <v>292899</v>
      </c>
      <c r="G165" s="49" t="s">
        <v>22</v>
      </c>
      <c r="H165" s="83">
        <v>1088</v>
      </c>
      <c r="I165" s="69">
        <v>297</v>
      </c>
      <c r="J165" s="49">
        <v>19746</v>
      </c>
      <c r="K165" s="49" t="s">
        <v>23</v>
      </c>
      <c r="L165" s="69">
        <v>1.02</v>
      </c>
      <c r="M165" s="69" t="s">
        <v>47</v>
      </c>
      <c r="N165" s="69"/>
      <c r="O165" s="49" t="s">
        <v>732</v>
      </c>
      <c r="P165" s="49" t="s">
        <v>732</v>
      </c>
      <c r="Q165" s="49" t="s">
        <v>732</v>
      </c>
    </row>
    <row r="166" spans="1:17" s="49" customFormat="1" ht="12.75">
      <c r="A166" s="97"/>
      <c r="B166" s="69"/>
      <c r="C166" s="69"/>
      <c r="E166" s="83"/>
      <c r="F166" s="77">
        <v>8428</v>
      </c>
      <c r="G166" s="49" t="s">
        <v>25</v>
      </c>
      <c r="H166" s="83">
        <v>1244</v>
      </c>
      <c r="I166" s="69">
        <v>6</v>
      </c>
      <c r="J166" s="49">
        <v>1241</v>
      </c>
      <c r="K166" s="49" t="s">
        <v>23</v>
      </c>
      <c r="L166" s="69">
        <v>0.73</v>
      </c>
      <c r="M166" s="69" t="s">
        <v>48</v>
      </c>
      <c r="N166" s="69"/>
      <c r="O166" s="49" t="s">
        <v>732</v>
      </c>
      <c r="P166" s="49" t="s">
        <v>732</v>
      </c>
      <c r="Q166" s="49" t="s">
        <v>732</v>
      </c>
    </row>
    <row r="167" spans="1:17" s="49" customFormat="1" ht="12.75">
      <c r="A167" s="97"/>
      <c r="B167" s="49" t="s">
        <v>11</v>
      </c>
      <c r="C167" s="49" t="s">
        <v>32</v>
      </c>
      <c r="D167" s="49" t="s">
        <v>33</v>
      </c>
      <c r="E167" s="12">
        <v>19</v>
      </c>
      <c r="F167" s="49">
        <v>49195</v>
      </c>
      <c r="G167" s="49" t="s">
        <v>14</v>
      </c>
      <c r="H167" s="12" t="s">
        <v>34</v>
      </c>
      <c r="I167" s="49">
        <v>217</v>
      </c>
      <c r="J167" s="49">
        <v>2058</v>
      </c>
      <c r="K167" s="49" t="s">
        <v>23</v>
      </c>
      <c r="L167" s="49">
        <v>1.65</v>
      </c>
      <c r="M167" s="49" t="s">
        <v>35</v>
      </c>
      <c r="N167" s="49" t="s">
        <v>18</v>
      </c>
      <c r="O167" s="51">
        <v>209.03</v>
      </c>
      <c r="P167" s="49" t="s">
        <v>732</v>
      </c>
      <c r="Q167" s="52">
        <v>37675.96</v>
      </c>
    </row>
    <row r="168" spans="1:17" s="49" customFormat="1" ht="12.75">
      <c r="A168" s="97"/>
      <c r="C168" s="49" t="s">
        <v>19</v>
      </c>
      <c r="E168" s="12"/>
      <c r="F168" s="49">
        <v>705006</v>
      </c>
      <c r="G168" s="49" t="s">
        <v>20</v>
      </c>
      <c r="H168" s="12">
        <v>933</v>
      </c>
      <c r="I168" s="49">
        <v>2464</v>
      </c>
      <c r="J168" s="49">
        <v>38388</v>
      </c>
      <c r="K168" s="49" t="s">
        <v>36</v>
      </c>
      <c r="L168" s="49">
        <v>1</v>
      </c>
      <c r="M168" s="49" t="s">
        <v>37</v>
      </c>
      <c r="O168" s="51">
        <v>2000.46</v>
      </c>
      <c r="P168" s="49" t="s">
        <v>732</v>
      </c>
      <c r="Q168" s="52">
        <v>594937.48</v>
      </c>
    </row>
    <row r="169" spans="1:17" s="49" customFormat="1" ht="12.75">
      <c r="A169" s="97"/>
      <c r="C169" s="82">
        <f>3862/61433</f>
        <v>6.2865235296990216E-2</v>
      </c>
      <c r="D169" s="82"/>
      <c r="E169" s="12"/>
      <c r="F169" s="49">
        <v>313628</v>
      </c>
      <c r="G169" s="49" t="s">
        <v>22</v>
      </c>
      <c r="H169" s="12">
        <v>1243</v>
      </c>
      <c r="I169" s="49">
        <v>1073</v>
      </c>
      <c r="J169" s="49">
        <v>19746</v>
      </c>
      <c r="K169" s="49" t="s">
        <v>23</v>
      </c>
      <c r="L169" s="49">
        <v>1.04</v>
      </c>
      <c r="M169" s="49" t="s">
        <v>38</v>
      </c>
      <c r="O169" s="51">
        <v>950.64</v>
      </c>
      <c r="P169" s="49" t="s">
        <v>732</v>
      </c>
      <c r="Q169" s="52">
        <v>271847.37</v>
      </c>
    </row>
    <row r="170" spans="1:17" s="49" customFormat="1" ht="12.75">
      <c r="A170" s="97"/>
      <c r="E170" s="12"/>
      <c r="F170" s="49">
        <v>27051</v>
      </c>
      <c r="G170" s="49" t="s">
        <v>25</v>
      </c>
      <c r="H170" s="12">
        <v>2137</v>
      </c>
      <c r="I170" s="49">
        <v>108</v>
      </c>
      <c r="J170" s="49">
        <v>1241</v>
      </c>
      <c r="K170" s="49" t="s">
        <v>23</v>
      </c>
      <c r="L170" s="49">
        <v>1.51</v>
      </c>
      <c r="M170" s="49" t="s">
        <v>39</v>
      </c>
      <c r="O170" s="51">
        <v>98.92</v>
      </c>
      <c r="P170" s="49" t="s">
        <v>732</v>
      </c>
      <c r="Q170" s="52">
        <v>19481.900000000001</v>
      </c>
    </row>
    <row r="171" spans="1:17" s="49" customFormat="1" ht="12.75">
      <c r="A171" s="97"/>
      <c r="B171" s="49" t="s">
        <v>11</v>
      </c>
      <c r="C171" s="49" t="s">
        <v>27</v>
      </c>
      <c r="D171" s="49" t="s">
        <v>33</v>
      </c>
      <c r="E171" s="12">
        <v>19</v>
      </c>
      <c r="F171" s="49">
        <v>49195</v>
      </c>
      <c r="G171" s="49" t="s">
        <v>14</v>
      </c>
      <c r="H171" s="12" t="s">
        <v>34</v>
      </c>
      <c r="I171" s="49">
        <v>111</v>
      </c>
      <c r="J171" s="49">
        <v>2058</v>
      </c>
      <c r="K171" s="49" t="s">
        <v>23</v>
      </c>
      <c r="L171" s="49">
        <v>1.65</v>
      </c>
      <c r="M171" s="49" t="s">
        <v>40</v>
      </c>
      <c r="N171" s="49" t="s">
        <v>18</v>
      </c>
      <c r="O171" s="49" t="s">
        <v>732</v>
      </c>
      <c r="P171" s="49" t="s">
        <v>732</v>
      </c>
      <c r="Q171" s="49" t="s">
        <v>732</v>
      </c>
    </row>
    <row r="172" spans="1:17" s="49" customFormat="1" ht="12.75">
      <c r="A172" s="97"/>
      <c r="C172" s="49" t="s">
        <v>29</v>
      </c>
      <c r="E172" s="12"/>
      <c r="F172" s="49">
        <v>705006</v>
      </c>
      <c r="G172" s="49" t="s">
        <v>20</v>
      </c>
      <c r="H172" s="12">
        <v>933</v>
      </c>
      <c r="I172" s="49">
        <v>1225</v>
      </c>
      <c r="J172" s="49">
        <v>38388</v>
      </c>
      <c r="K172" s="49" t="s">
        <v>36</v>
      </c>
      <c r="L172" s="49">
        <v>1</v>
      </c>
      <c r="M172" s="49" t="s">
        <v>41</v>
      </c>
      <c r="O172" s="49" t="s">
        <v>732</v>
      </c>
      <c r="P172" s="49" t="s">
        <v>733</v>
      </c>
      <c r="Q172" s="49" t="s">
        <v>732</v>
      </c>
    </row>
    <row r="173" spans="1:17" s="49" customFormat="1" ht="12.75">
      <c r="A173" s="97"/>
      <c r="C173" s="82">
        <f>1932/61433</f>
        <v>3.1448895544739799E-2</v>
      </c>
      <c r="D173" s="82"/>
      <c r="E173" s="12"/>
      <c r="F173" s="49">
        <v>313628</v>
      </c>
      <c r="G173" s="49" t="s">
        <v>22</v>
      </c>
      <c r="H173" s="12">
        <v>1243</v>
      </c>
      <c r="I173" s="49">
        <v>533</v>
      </c>
      <c r="J173" s="49">
        <v>19746</v>
      </c>
      <c r="K173" s="49" t="s">
        <v>23</v>
      </c>
      <c r="L173" s="49">
        <v>1.05</v>
      </c>
      <c r="M173" s="49" t="s">
        <v>42</v>
      </c>
      <c r="O173" s="49" t="s">
        <v>732</v>
      </c>
      <c r="P173" s="49" t="s">
        <v>732</v>
      </c>
      <c r="Q173" s="49" t="s">
        <v>732</v>
      </c>
    </row>
    <row r="174" spans="1:17" s="49" customFormat="1" ht="12.75">
      <c r="A174" s="97"/>
      <c r="E174" s="12"/>
      <c r="F174" s="49">
        <v>27051</v>
      </c>
      <c r="G174" s="49" t="s">
        <v>25</v>
      </c>
      <c r="H174" s="12">
        <v>2137</v>
      </c>
      <c r="I174" s="49">
        <v>63</v>
      </c>
      <c r="J174" s="49">
        <v>1241</v>
      </c>
      <c r="K174" s="49" t="s">
        <v>23</v>
      </c>
      <c r="L174" s="49">
        <v>1.9</v>
      </c>
      <c r="M174" s="49" t="s">
        <v>43</v>
      </c>
      <c r="O174" s="49" t="s">
        <v>732</v>
      </c>
      <c r="P174" s="49" t="s">
        <v>732</v>
      </c>
      <c r="Q174" s="49" t="s">
        <v>732</v>
      </c>
    </row>
    <row r="175" spans="1:17" s="49" customFormat="1" ht="12.75">
      <c r="A175" s="97"/>
      <c r="B175" s="49" t="s">
        <v>49</v>
      </c>
      <c r="C175" s="49" t="s">
        <v>55</v>
      </c>
      <c r="D175" s="49" t="s">
        <v>33</v>
      </c>
      <c r="E175" s="12">
        <v>19</v>
      </c>
      <c r="F175" s="49">
        <v>49195</v>
      </c>
      <c r="G175" s="49" t="s">
        <v>14</v>
      </c>
      <c r="H175" s="12" t="s">
        <v>34</v>
      </c>
      <c r="I175" s="49">
        <v>57</v>
      </c>
      <c r="J175" s="49">
        <v>2058</v>
      </c>
      <c r="K175" s="49" t="s">
        <v>23</v>
      </c>
      <c r="L175" s="49">
        <v>1.53</v>
      </c>
      <c r="M175" s="49" t="s">
        <v>50</v>
      </c>
      <c r="N175" s="49" t="s">
        <v>18</v>
      </c>
      <c r="O175" s="51">
        <v>57.325000000000003</v>
      </c>
      <c r="P175" s="49" t="s">
        <v>732</v>
      </c>
      <c r="Q175" s="52">
        <v>38483.230000000003</v>
      </c>
    </row>
    <row r="176" spans="1:17" s="49" customFormat="1" ht="12.75">
      <c r="A176" s="97"/>
      <c r="C176" s="49" t="s">
        <v>57</v>
      </c>
      <c r="E176" s="12"/>
      <c r="F176" s="49">
        <v>705006</v>
      </c>
      <c r="G176" s="49" t="s">
        <v>20</v>
      </c>
      <c r="H176" s="12">
        <v>933</v>
      </c>
      <c r="I176" s="49">
        <v>709</v>
      </c>
      <c r="J176" s="49">
        <v>38388</v>
      </c>
      <c r="K176" s="49" t="s">
        <v>23</v>
      </c>
      <c r="L176" s="49">
        <v>1</v>
      </c>
      <c r="M176" s="49" t="s">
        <v>37</v>
      </c>
      <c r="O176" s="51">
        <v>609.73199999999997</v>
      </c>
      <c r="P176" s="49" t="s">
        <v>732</v>
      </c>
      <c r="Q176" s="52">
        <v>626259.94999999995</v>
      </c>
    </row>
    <row r="177" spans="1:17" s="49" customFormat="1" ht="12.75">
      <c r="A177" s="97"/>
      <c r="C177" s="11">
        <f>1100/61433</f>
        <v>1.7905685869158271E-2</v>
      </c>
      <c r="E177" s="12"/>
      <c r="F177" s="49">
        <v>313628</v>
      </c>
      <c r="G177" s="49" t="s">
        <v>22</v>
      </c>
      <c r="H177" s="12">
        <v>1243</v>
      </c>
      <c r="I177" s="49">
        <v>313</v>
      </c>
      <c r="J177" s="49">
        <v>19746</v>
      </c>
      <c r="K177" s="49" t="s">
        <v>23</v>
      </c>
      <c r="L177" s="49">
        <v>1.04</v>
      </c>
      <c r="M177" s="49" t="s">
        <v>51</v>
      </c>
      <c r="O177" s="51">
        <v>290.50599999999997</v>
      </c>
      <c r="P177" s="49" t="s">
        <v>732</v>
      </c>
      <c r="Q177" s="52">
        <v>286904.38</v>
      </c>
    </row>
    <row r="178" spans="1:17" s="49" customFormat="1" ht="12.75">
      <c r="A178" s="97"/>
      <c r="E178" s="12"/>
      <c r="F178" s="49">
        <v>27051</v>
      </c>
      <c r="G178" s="49" t="s">
        <v>25</v>
      </c>
      <c r="H178" s="12">
        <v>2137</v>
      </c>
      <c r="I178" s="49">
        <v>21</v>
      </c>
      <c r="J178" s="49">
        <v>1241</v>
      </c>
      <c r="K178" s="49" t="s">
        <v>23</v>
      </c>
      <c r="L178" s="49">
        <v>0.96</v>
      </c>
      <c r="M178" s="49" t="s">
        <v>52</v>
      </c>
      <c r="O178" s="51">
        <v>19.571000000000002</v>
      </c>
      <c r="P178" s="49" t="s">
        <v>732</v>
      </c>
      <c r="Q178" s="52">
        <v>20939.189999999999</v>
      </c>
    </row>
    <row r="179" spans="1:17" s="18" customFormat="1" ht="12.75">
      <c r="A179" s="96" t="s">
        <v>737</v>
      </c>
      <c r="B179" s="22" t="s">
        <v>11</v>
      </c>
      <c r="C179" s="22" t="s">
        <v>102</v>
      </c>
      <c r="D179" s="22" t="s">
        <v>331</v>
      </c>
      <c r="E179" s="23">
        <v>24</v>
      </c>
      <c r="F179" s="22">
        <v>684044</v>
      </c>
      <c r="G179" s="22" t="s">
        <v>14</v>
      </c>
      <c r="H179" s="23" t="s">
        <v>103</v>
      </c>
      <c r="I179" s="22">
        <v>1863</v>
      </c>
      <c r="J179" s="22">
        <v>51623</v>
      </c>
      <c r="K179" s="22" t="s">
        <v>61</v>
      </c>
      <c r="L179" s="22">
        <v>1</v>
      </c>
      <c r="M179" s="22" t="s">
        <v>37</v>
      </c>
      <c r="N179" s="22">
        <v>8.0000000000000004E-4</v>
      </c>
      <c r="O179" s="18" t="s">
        <v>732</v>
      </c>
      <c r="P179" s="18" t="s">
        <v>732</v>
      </c>
      <c r="Q179" s="18" t="s">
        <v>732</v>
      </c>
    </row>
    <row r="180" spans="1:17" s="18" customFormat="1" ht="12.75">
      <c r="A180" s="96"/>
      <c r="B180" s="22"/>
      <c r="C180" s="22" t="s">
        <v>104</v>
      </c>
      <c r="D180" s="22"/>
      <c r="E180" s="23"/>
      <c r="F180" s="22">
        <v>64174</v>
      </c>
      <c r="G180" s="22" t="s">
        <v>20</v>
      </c>
      <c r="H180" s="23" t="s">
        <v>105</v>
      </c>
      <c r="I180" s="22">
        <v>211</v>
      </c>
      <c r="J180" s="22">
        <v>1617</v>
      </c>
      <c r="K180" s="22" t="s">
        <v>61</v>
      </c>
      <c r="L180" s="22">
        <v>0.97</v>
      </c>
      <c r="M180" s="22" t="s">
        <v>106</v>
      </c>
      <c r="N180" s="22"/>
      <c r="O180" s="18" t="s">
        <v>732</v>
      </c>
      <c r="P180" s="18" t="s">
        <v>732</v>
      </c>
      <c r="Q180" s="18" t="s">
        <v>732</v>
      </c>
    </row>
    <row r="181" spans="1:17" s="18" customFormat="1" ht="12.75">
      <c r="A181" s="96"/>
      <c r="B181" s="22"/>
      <c r="C181" s="24">
        <f>4545/74245</f>
        <v>6.1216243518082025E-2</v>
      </c>
      <c r="D181" s="24"/>
      <c r="E181" s="23"/>
      <c r="F181" s="22">
        <v>42584</v>
      </c>
      <c r="G181" s="22" t="s">
        <v>22</v>
      </c>
      <c r="H181" s="23" t="s">
        <v>107</v>
      </c>
      <c r="I181" s="22">
        <v>1151</v>
      </c>
      <c r="J181" s="22">
        <v>14699</v>
      </c>
      <c r="K181" s="22" t="s">
        <v>61</v>
      </c>
      <c r="L181" s="22">
        <v>0.88</v>
      </c>
      <c r="M181" s="22" t="s">
        <v>108</v>
      </c>
      <c r="N181" s="22"/>
      <c r="O181" s="18" t="s">
        <v>732</v>
      </c>
      <c r="P181" s="18" t="s">
        <v>732</v>
      </c>
      <c r="Q181" s="18" t="s">
        <v>732</v>
      </c>
    </row>
    <row r="182" spans="1:17" s="18" customFormat="1" ht="12.75">
      <c r="A182" s="96"/>
      <c r="B182" s="22"/>
      <c r="C182" s="22"/>
      <c r="D182" s="22"/>
      <c r="E182" s="23"/>
      <c r="F182" s="22">
        <v>310161</v>
      </c>
      <c r="G182" s="22" t="s">
        <v>25</v>
      </c>
      <c r="H182" s="23" t="s">
        <v>109</v>
      </c>
      <c r="I182" s="22">
        <v>806</v>
      </c>
      <c r="J182" s="22">
        <v>4516</v>
      </c>
      <c r="K182" s="22" t="s">
        <v>61</v>
      </c>
      <c r="L182" s="22">
        <v>0.83</v>
      </c>
      <c r="M182" s="22" t="s">
        <v>110</v>
      </c>
      <c r="N182" s="22"/>
      <c r="O182" s="18" t="s">
        <v>732</v>
      </c>
      <c r="P182" s="18" t="s">
        <v>732</v>
      </c>
      <c r="Q182" s="18" t="s">
        <v>732</v>
      </c>
    </row>
    <row r="183" spans="1:17" s="18" customFormat="1" ht="12.75">
      <c r="A183" s="96"/>
      <c r="B183" s="22"/>
      <c r="C183" s="22"/>
      <c r="D183" s="22"/>
      <c r="E183" s="23"/>
      <c r="F183" s="22">
        <v>192931</v>
      </c>
      <c r="G183" s="22" t="s">
        <v>67</v>
      </c>
      <c r="H183" s="23" t="s">
        <v>111</v>
      </c>
      <c r="I183" s="22">
        <v>514</v>
      </c>
      <c r="J183" s="22">
        <v>1790</v>
      </c>
      <c r="K183" s="22" t="s">
        <v>65</v>
      </c>
      <c r="L183" s="22">
        <v>0.82</v>
      </c>
      <c r="M183" s="22" t="s">
        <v>112</v>
      </c>
      <c r="N183" s="22"/>
      <c r="O183" s="18" t="s">
        <v>732</v>
      </c>
      <c r="P183" s="18" t="s">
        <v>732</v>
      </c>
      <c r="Q183" s="18" t="s">
        <v>732</v>
      </c>
    </row>
    <row r="184" spans="1:17" s="18" customFormat="1" ht="12.75">
      <c r="A184" s="96"/>
      <c r="B184" s="22" t="s">
        <v>11</v>
      </c>
      <c r="C184" s="22" t="s">
        <v>113</v>
      </c>
      <c r="D184" s="22" t="s">
        <v>331</v>
      </c>
      <c r="E184" s="23">
        <v>24</v>
      </c>
      <c r="F184" s="22">
        <v>682662</v>
      </c>
      <c r="G184" s="22" t="s">
        <v>14</v>
      </c>
      <c r="H184" s="23" t="s">
        <v>114</v>
      </c>
      <c r="I184" s="22">
        <v>1173</v>
      </c>
      <c r="J184" s="22">
        <v>51623</v>
      </c>
      <c r="K184" s="22" t="s">
        <v>115</v>
      </c>
      <c r="L184" s="22">
        <v>1</v>
      </c>
      <c r="M184" s="22" t="s">
        <v>116</v>
      </c>
      <c r="N184" s="22" t="s">
        <v>117</v>
      </c>
      <c r="O184" s="18" t="s">
        <v>732</v>
      </c>
      <c r="P184" s="18" t="s">
        <v>732</v>
      </c>
      <c r="Q184" s="18" t="s">
        <v>732</v>
      </c>
    </row>
    <row r="185" spans="1:17" s="18" customFormat="1" ht="12.75">
      <c r="A185" s="96"/>
      <c r="B185" s="22"/>
      <c r="C185" s="22" t="s">
        <v>118</v>
      </c>
      <c r="D185" s="22"/>
      <c r="E185" s="23"/>
      <c r="F185" s="22">
        <v>63985</v>
      </c>
      <c r="G185" s="22" t="s">
        <v>20</v>
      </c>
      <c r="H185" s="23" t="s">
        <v>105</v>
      </c>
      <c r="I185" s="22">
        <v>128</v>
      </c>
      <c r="J185" s="22">
        <v>1617</v>
      </c>
      <c r="K185" s="22" t="s">
        <v>61</v>
      </c>
      <c r="L185" s="22">
        <v>0.97</v>
      </c>
      <c r="M185" s="22" t="s">
        <v>119</v>
      </c>
      <c r="N185" s="22"/>
      <c r="O185" s="18" t="s">
        <v>732</v>
      </c>
      <c r="P185" s="18" t="s">
        <v>732</v>
      </c>
      <c r="Q185" s="18" t="s">
        <v>732</v>
      </c>
    </row>
    <row r="186" spans="1:17" s="18" customFormat="1" ht="12.75">
      <c r="A186" s="96"/>
      <c r="B186" s="22"/>
      <c r="C186" s="24">
        <f>2709/74245</f>
        <v>3.6487305542460768E-2</v>
      </c>
      <c r="D186" s="24"/>
      <c r="E186" s="23"/>
      <c r="F186" s="22">
        <v>428626</v>
      </c>
      <c r="G186" s="22" t="s">
        <v>22</v>
      </c>
      <c r="H186" s="23" t="s">
        <v>107</v>
      </c>
      <c r="I186" s="22">
        <v>684</v>
      </c>
      <c r="J186" s="22">
        <v>14699</v>
      </c>
      <c r="K186" s="22" t="s">
        <v>61</v>
      </c>
      <c r="L186" s="22">
        <v>0.86</v>
      </c>
      <c r="M186" s="22" t="s">
        <v>120</v>
      </c>
      <c r="N186" s="22"/>
      <c r="O186" s="18" t="s">
        <v>732</v>
      </c>
      <c r="P186" s="18" t="s">
        <v>732</v>
      </c>
      <c r="Q186" s="18" t="s">
        <v>732</v>
      </c>
    </row>
    <row r="187" spans="1:17" s="18" customFormat="1" ht="12.75">
      <c r="A187" s="96"/>
      <c r="B187" s="22"/>
      <c r="C187" s="22"/>
      <c r="D187" s="22"/>
      <c r="E187" s="23"/>
      <c r="F187" s="22">
        <v>309461</v>
      </c>
      <c r="G187" s="22" t="s">
        <v>25</v>
      </c>
      <c r="H187" s="23" t="s">
        <v>121</v>
      </c>
      <c r="I187" s="22">
        <v>463</v>
      </c>
      <c r="J187" s="22">
        <v>4516</v>
      </c>
      <c r="K187" s="22" t="s">
        <v>122</v>
      </c>
      <c r="L187" s="22">
        <v>0.81</v>
      </c>
      <c r="M187" s="22" t="s">
        <v>123</v>
      </c>
      <c r="N187" s="22"/>
      <c r="O187" s="18" t="s">
        <v>732</v>
      </c>
      <c r="P187" s="18" t="s">
        <v>732</v>
      </c>
      <c r="Q187" s="18" t="s">
        <v>732</v>
      </c>
    </row>
    <row r="188" spans="1:17" s="18" customFormat="1" ht="12.75">
      <c r="A188" s="96"/>
      <c r="B188" s="22"/>
      <c r="C188" s="22"/>
      <c r="D188" s="22"/>
      <c r="E188" s="23"/>
      <c r="F188" s="22">
        <v>192417</v>
      </c>
      <c r="G188" s="22" t="s">
        <v>67</v>
      </c>
      <c r="H188" s="23" t="s">
        <v>111</v>
      </c>
      <c r="I188" s="22">
        <v>261</v>
      </c>
      <c r="J188" s="22">
        <v>1790</v>
      </c>
      <c r="K188" s="22" t="s">
        <v>65</v>
      </c>
      <c r="L188" s="22">
        <v>0.71</v>
      </c>
      <c r="M188" s="22" t="s">
        <v>124</v>
      </c>
      <c r="N188" s="22"/>
      <c r="O188" s="18" t="s">
        <v>732</v>
      </c>
      <c r="P188" s="18" t="s">
        <v>732</v>
      </c>
      <c r="Q188" s="18" t="s">
        <v>732</v>
      </c>
    </row>
    <row r="189" spans="1:17" s="18" customFormat="1" ht="12.75">
      <c r="A189" s="96"/>
      <c r="B189" s="22" t="s">
        <v>125</v>
      </c>
      <c r="C189" s="22" t="s">
        <v>126</v>
      </c>
      <c r="D189" s="22" t="s">
        <v>331</v>
      </c>
      <c r="E189" s="23">
        <v>24</v>
      </c>
      <c r="F189" s="22">
        <v>683493</v>
      </c>
      <c r="G189" s="22" t="s">
        <v>14</v>
      </c>
      <c r="H189" s="23" t="s">
        <v>425</v>
      </c>
      <c r="I189" s="22">
        <v>264</v>
      </c>
      <c r="J189" s="22">
        <v>51623</v>
      </c>
      <c r="K189" s="22" t="s">
        <v>127</v>
      </c>
      <c r="L189" s="22">
        <v>1</v>
      </c>
      <c r="M189" s="22" t="s">
        <v>128</v>
      </c>
      <c r="N189" s="22">
        <v>0.06</v>
      </c>
      <c r="O189" s="18" t="s">
        <v>732</v>
      </c>
      <c r="P189" s="18" t="s">
        <v>732</v>
      </c>
      <c r="Q189" s="18" t="s">
        <v>732</v>
      </c>
    </row>
    <row r="190" spans="1:17" s="18" customFormat="1" ht="12.75">
      <c r="A190" s="96"/>
      <c r="B190" s="22"/>
      <c r="C190" s="22" t="s">
        <v>129</v>
      </c>
      <c r="D190" s="22"/>
      <c r="E190" s="23"/>
      <c r="F190" s="22">
        <v>64063</v>
      </c>
      <c r="G190" s="22" t="s">
        <v>20</v>
      </c>
      <c r="H190" s="23" t="s">
        <v>130</v>
      </c>
      <c r="I190" s="22">
        <v>28</v>
      </c>
      <c r="J190" s="22">
        <v>1617</v>
      </c>
      <c r="K190" s="22" t="s">
        <v>127</v>
      </c>
      <c r="L190" s="22">
        <v>0.96</v>
      </c>
      <c r="M190" s="22" t="s">
        <v>131</v>
      </c>
      <c r="N190" s="22"/>
      <c r="O190" s="18" t="s">
        <v>732</v>
      </c>
      <c r="P190" s="18" t="s">
        <v>732</v>
      </c>
      <c r="Q190" s="18" t="s">
        <v>732</v>
      </c>
    </row>
    <row r="191" spans="1:17" s="18" customFormat="1" ht="12.75">
      <c r="A191" s="96"/>
      <c r="B191" s="22"/>
      <c r="C191" s="25">
        <f>558/74245</f>
        <v>7.5156576200417534E-3</v>
      </c>
      <c r="D191" s="26"/>
      <c r="E191" s="23"/>
      <c r="F191" s="22">
        <v>429123</v>
      </c>
      <c r="G191" s="22" t="s">
        <v>22</v>
      </c>
      <c r="H191" s="23" t="s">
        <v>132</v>
      </c>
      <c r="I191" s="22">
        <v>133</v>
      </c>
      <c r="J191" s="22">
        <v>14699</v>
      </c>
      <c r="K191" s="22" t="s">
        <v>133</v>
      </c>
      <c r="L191" s="22">
        <v>0.83</v>
      </c>
      <c r="M191" s="22" t="s">
        <v>134</v>
      </c>
      <c r="N191" s="22"/>
      <c r="O191" s="18" t="s">
        <v>732</v>
      </c>
      <c r="P191" s="18" t="s">
        <v>732</v>
      </c>
      <c r="Q191" s="18" t="s">
        <v>732</v>
      </c>
    </row>
    <row r="192" spans="1:17" s="18" customFormat="1" ht="12.75">
      <c r="A192" s="96"/>
      <c r="B192" s="22"/>
      <c r="C192" s="22"/>
      <c r="D192" s="22"/>
      <c r="E192" s="23"/>
      <c r="F192" s="22">
        <v>309783</v>
      </c>
      <c r="G192" s="22" t="s">
        <v>25</v>
      </c>
      <c r="H192" s="23" t="s">
        <v>109</v>
      </c>
      <c r="I192" s="22">
        <v>88</v>
      </c>
      <c r="J192" s="22">
        <v>4516</v>
      </c>
      <c r="K192" s="22" t="s">
        <v>65</v>
      </c>
      <c r="L192" s="22">
        <v>0.88</v>
      </c>
      <c r="M192" s="22" t="s">
        <v>135</v>
      </c>
      <c r="N192" s="22"/>
      <c r="O192" s="18" t="s">
        <v>732</v>
      </c>
      <c r="P192" s="18" t="s">
        <v>732</v>
      </c>
      <c r="Q192" s="18" t="s">
        <v>732</v>
      </c>
    </row>
    <row r="193" spans="1:17" s="18" customFormat="1" ht="12.75">
      <c r="A193" s="96"/>
      <c r="B193" s="22"/>
      <c r="C193" s="22"/>
      <c r="D193" s="22"/>
      <c r="E193" s="23"/>
      <c r="F193" s="22">
        <v>192594</v>
      </c>
      <c r="G193" s="22" t="s">
        <v>67</v>
      </c>
      <c r="H193" s="23" t="s">
        <v>111</v>
      </c>
      <c r="I193" s="22">
        <v>45</v>
      </c>
      <c r="J193" s="22">
        <v>1790</v>
      </c>
      <c r="K193" s="22" t="s">
        <v>65</v>
      </c>
      <c r="L193" s="22">
        <v>0.71</v>
      </c>
      <c r="M193" s="22" t="s">
        <v>136</v>
      </c>
      <c r="N193" s="22"/>
      <c r="O193" s="18" t="s">
        <v>732</v>
      </c>
      <c r="P193" s="18" t="s">
        <v>732</v>
      </c>
      <c r="Q193" s="18" t="s">
        <v>732</v>
      </c>
    </row>
    <row r="194" spans="1:17" s="18" customFormat="1" ht="12.75">
      <c r="A194" s="96"/>
      <c r="B194" s="22" t="s">
        <v>137</v>
      </c>
      <c r="C194" s="22" t="s">
        <v>138</v>
      </c>
      <c r="D194" s="22" t="s">
        <v>331</v>
      </c>
      <c r="E194" s="23">
        <v>24</v>
      </c>
      <c r="F194" s="22">
        <v>682665</v>
      </c>
      <c r="G194" s="22" t="s">
        <v>14</v>
      </c>
      <c r="H194" s="23" t="s">
        <v>425</v>
      </c>
      <c r="I194" s="22">
        <v>909</v>
      </c>
      <c r="J194" s="22">
        <v>51623</v>
      </c>
      <c r="K194" s="22" t="s">
        <v>65</v>
      </c>
      <c r="L194" s="22">
        <v>1</v>
      </c>
      <c r="M194" s="22" t="s">
        <v>21</v>
      </c>
      <c r="N194" s="22">
        <v>4.0000000000000002E-4</v>
      </c>
      <c r="O194" s="18" t="s">
        <v>732</v>
      </c>
      <c r="P194" s="18" t="s">
        <v>732</v>
      </c>
      <c r="Q194" s="18" t="s">
        <v>732</v>
      </c>
    </row>
    <row r="195" spans="1:17" s="18" customFormat="1" ht="12.75">
      <c r="A195" s="96"/>
      <c r="B195" s="22"/>
      <c r="C195" s="22" t="s">
        <v>139</v>
      </c>
      <c r="D195" s="22"/>
      <c r="E195" s="23"/>
      <c r="F195" s="22">
        <v>63986</v>
      </c>
      <c r="G195" s="22" t="s">
        <v>20</v>
      </c>
      <c r="H195" s="23" t="s">
        <v>140</v>
      </c>
      <c r="I195" s="22">
        <v>100</v>
      </c>
      <c r="J195" s="22">
        <v>1617</v>
      </c>
      <c r="K195" s="22" t="s">
        <v>141</v>
      </c>
      <c r="L195" s="22">
        <v>0.97</v>
      </c>
      <c r="M195" s="22" t="s">
        <v>142</v>
      </c>
      <c r="N195" s="22"/>
      <c r="O195" s="18" t="s">
        <v>732</v>
      </c>
      <c r="P195" s="18" t="s">
        <v>732</v>
      </c>
      <c r="Q195" s="18" t="s">
        <v>732</v>
      </c>
    </row>
    <row r="196" spans="1:17" s="18" customFormat="1" ht="12.75">
      <c r="A196" s="96"/>
      <c r="B196" s="22"/>
      <c r="C196" s="27">
        <f>2151/74245</f>
        <v>2.8971647922419019E-2</v>
      </c>
      <c r="D196" s="22"/>
      <c r="E196" s="23"/>
      <c r="F196" s="22">
        <v>428626</v>
      </c>
      <c r="G196" s="22" t="s">
        <v>22</v>
      </c>
      <c r="H196" s="23" t="s">
        <v>107</v>
      </c>
      <c r="I196" s="22">
        <v>551</v>
      </c>
      <c r="J196" s="22">
        <v>14699</v>
      </c>
      <c r="K196" s="22" t="s">
        <v>61</v>
      </c>
      <c r="L196" s="22">
        <v>0.91</v>
      </c>
      <c r="M196" s="22" t="s">
        <v>143</v>
      </c>
      <c r="N196" s="22"/>
      <c r="O196" s="18" t="s">
        <v>732</v>
      </c>
      <c r="P196" s="18" t="s">
        <v>732</v>
      </c>
      <c r="Q196" s="18" t="s">
        <v>732</v>
      </c>
    </row>
    <row r="197" spans="1:17" s="18" customFormat="1" ht="12.75">
      <c r="A197" s="96"/>
      <c r="B197" s="22"/>
      <c r="C197" s="22"/>
      <c r="D197" s="22"/>
      <c r="E197" s="23"/>
      <c r="F197" s="22">
        <v>309462</v>
      </c>
      <c r="G197" s="22" t="s">
        <v>25</v>
      </c>
      <c r="H197" s="23" t="s">
        <v>109</v>
      </c>
      <c r="I197" s="22">
        <v>375</v>
      </c>
      <c r="J197" s="22">
        <v>4516</v>
      </c>
      <c r="K197" s="22" t="s">
        <v>65</v>
      </c>
      <c r="L197" s="22">
        <v>0.85</v>
      </c>
      <c r="M197" s="22" t="s">
        <v>144</v>
      </c>
      <c r="N197" s="22"/>
      <c r="O197" s="18" t="s">
        <v>732</v>
      </c>
      <c r="P197" s="18" t="s">
        <v>732</v>
      </c>
      <c r="Q197" s="18" t="s">
        <v>732</v>
      </c>
    </row>
    <row r="198" spans="1:17" s="18" customFormat="1" ht="12.75">
      <c r="A198" s="96"/>
      <c r="B198" s="22"/>
      <c r="C198" s="22"/>
      <c r="D198" s="22"/>
      <c r="E198" s="23"/>
      <c r="F198" s="22">
        <v>192417</v>
      </c>
      <c r="G198" s="22" t="s">
        <v>67</v>
      </c>
      <c r="H198" s="23" t="s">
        <v>111</v>
      </c>
      <c r="I198" s="22">
        <v>216</v>
      </c>
      <c r="J198" s="22">
        <v>1790</v>
      </c>
      <c r="K198" s="22" t="s">
        <v>65</v>
      </c>
      <c r="L198" s="22">
        <v>0.77</v>
      </c>
      <c r="M198" s="22" t="s">
        <v>145</v>
      </c>
      <c r="N198" s="22"/>
      <c r="O198" s="18" t="s">
        <v>732</v>
      </c>
      <c r="P198" s="18" t="s">
        <v>732</v>
      </c>
      <c r="Q198" s="18" t="s">
        <v>732</v>
      </c>
    </row>
    <row r="199" spans="1:17" s="18" customFormat="1" ht="12.75">
      <c r="A199" s="96"/>
      <c r="B199" s="22" t="s">
        <v>11</v>
      </c>
      <c r="C199" s="22" t="s">
        <v>146</v>
      </c>
      <c r="D199" s="22" t="s">
        <v>331</v>
      </c>
      <c r="E199" s="23">
        <v>24</v>
      </c>
      <c r="F199" s="22">
        <v>684304</v>
      </c>
      <c r="G199" s="22" t="s">
        <v>14</v>
      </c>
      <c r="H199" s="23" t="s">
        <v>103</v>
      </c>
      <c r="I199" s="22">
        <v>710</v>
      </c>
      <c r="J199" s="22">
        <v>51623</v>
      </c>
      <c r="K199" s="22" t="s">
        <v>147</v>
      </c>
      <c r="L199" s="22">
        <v>1</v>
      </c>
      <c r="M199" s="22" t="s">
        <v>148</v>
      </c>
      <c r="N199" s="22">
        <v>0.61</v>
      </c>
      <c r="O199" s="18" t="s">
        <v>732</v>
      </c>
      <c r="P199" s="18" t="s">
        <v>732</v>
      </c>
      <c r="Q199" s="18" t="s">
        <v>732</v>
      </c>
    </row>
    <row r="200" spans="1:17" s="18" customFormat="1" ht="12.75">
      <c r="A200" s="96"/>
      <c r="B200" s="22"/>
      <c r="C200" s="22" t="s">
        <v>149</v>
      </c>
      <c r="E200" s="23"/>
      <c r="F200" s="22">
        <v>64159</v>
      </c>
      <c r="G200" s="22" t="s">
        <v>20</v>
      </c>
      <c r="H200" s="23" t="s">
        <v>150</v>
      </c>
      <c r="I200" s="22">
        <v>83</v>
      </c>
      <c r="J200" s="22">
        <v>1617</v>
      </c>
      <c r="K200" s="22" t="s">
        <v>151</v>
      </c>
      <c r="L200" s="22">
        <v>0.98</v>
      </c>
      <c r="M200" s="22" t="s">
        <v>152</v>
      </c>
      <c r="N200" s="22"/>
      <c r="O200" s="18" t="s">
        <v>732</v>
      </c>
      <c r="P200" s="18" t="s">
        <v>732</v>
      </c>
      <c r="Q200" s="18" t="s">
        <v>732</v>
      </c>
    </row>
    <row r="201" spans="1:17" s="18" customFormat="1" ht="12.75">
      <c r="A201" s="96"/>
      <c r="B201" s="22"/>
      <c r="C201" s="27">
        <f>1856/74245</f>
        <v>2.4998316384941748E-2</v>
      </c>
      <c r="D201" s="22"/>
      <c r="E201" s="23"/>
      <c r="F201" s="22">
        <v>429622</v>
      </c>
      <c r="G201" s="22" t="s">
        <v>22</v>
      </c>
      <c r="H201" s="23" t="s">
        <v>153</v>
      </c>
      <c r="I201" s="22">
        <v>467</v>
      </c>
      <c r="J201" s="22">
        <v>14699</v>
      </c>
      <c r="K201" s="22" t="s">
        <v>151</v>
      </c>
      <c r="L201" s="22">
        <v>0.93</v>
      </c>
      <c r="M201" s="22" t="s">
        <v>154</v>
      </c>
      <c r="N201" s="22"/>
      <c r="O201" s="18" t="s">
        <v>732</v>
      </c>
      <c r="P201" s="18" t="s">
        <v>732</v>
      </c>
      <c r="Q201" s="18" t="s">
        <v>732</v>
      </c>
    </row>
    <row r="202" spans="1:17" s="18" customFormat="1" ht="12.75">
      <c r="A202" s="96"/>
      <c r="B202" s="22"/>
      <c r="C202" s="22"/>
      <c r="D202" s="22"/>
      <c r="E202" s="23"/>
      <c r="F202" s="22">
        <v>310154</v>
      </c>
      <c r="G202" s="22" t="s">
        <v>25</v>
      </c>
      <c r="H202" s="23" t="s">
        <v>155</v>
      </c>
      <c r="I202" s="22">
        <v>343</v>
      </c>
      <c r="J202" s="22">
        <v>4516</v>
      </c>
      <c r="K202" s="22" t="s">
        <v>151</v>
      </c>
      <c r="L202" s="22">
        <v>0.9</v>
      </c>
      <c r="M202" s="22" t="s">
        <v>156</v>
      </c>
      <c r="N202" s="22"/>
      <c r="O202" s="18" t="s">
        <v>732</v>
      </c>
      <c r="P202" s="18" t="s">
        <v>732</v>
      </c>
      <c r="Q202" s="18" t="s">
        <v>732</v>
      </c>
    </row>
    <row r="203" spans="1:17" s="18" customFormat="1" ht="12.75">
      <c r="A203" s="96"/>
      <c r="B203" s="22"/>
      <c r="C203" s="22"/>
      <c r="D203" s="22"/>
      <c r="E203" s="23"/>
      <c r="F203" s="22">
        <v>192873</v>
      </c>
      <c r="G203" s="22" t="s">
        <v>67</v>
      </c>
      <c r="H203" s="23" t="s">
        <v>157</v>
      </c>
      <c r="I203" s="22">
        <v>253</v>
      </c>
      <c r="J203" s="22">
        <v>1790</v>
      </c>
      <c r="K203" s="22" t="s">
        <v>151</v>
      </c>
      <c r="L203" s="22">
        <v>1.03</v>
      </c>
      <c r="M203" s="22" t="s">
        <v>158</v>
      </c>
      <c r="N203" s="22"/>
      <c r="O203" s="18" t="s">
        <v>732</v>
      </c>
      <c r="P203" s="18" t="s">
        <v>732</v>
      </c>
      <c r="Q203" s="18" t="s">
        <v>732</v>
      </c>
    </row>
    <row r="204" spans="1:17" s="18" customFormat="1" ht="12.75">
      <c r="A204" s="96"/>
      <c r="B204" s="22" t="s">
        <v>49</v>
      </c>
      <c r="C204" s="22" t="s">
        <v>159</v>
      </c>
      <c r="D204" s="22" t="s">
        <v>331</v>
      </c>
      <c r="E204" s="23">
        <v>24</v>
      </c>
      <c r="F204" s="22">
        <v>684127</v>
      </c>
      <c r="G204" s="22" t="s">
        <v>14</v>
      </c>
      <c r="H204" s="23" t="s">
        <v>160</v>
      </c>
      <c r="I204" s="22">
        <v>549</v>
      </c>
      <c r="J204" s="22">
        <v>51623</v>
      </c>
      <c r="K204" s="22" t="s">
        <v>151</v>
      </c>
      <c r="L204" s="22">
        <v>1</v>
      </c>
      <c r="M204" s="22" t="s">
        <v>161</v>
      </c>
      <c r="N204" s="22">
        <v>0.22</v>
      </c>
      <c r="O204" s="18" t="s">
        <v>732</v>
      </c>
      <c r="P204" s="18" t="s">
        <v>732</v>
      </c>
      <c r="Q204" s="18" t="s">
        <v>732</v>
      </c>
    </row>
    <row r="205" spans="1:17" s="18" customFormat="1" ht="12.75">
      <c r="A205" s="96"/>
      <c r="B205" s="22"/>
      <c r="C205" s="22" t="s">
        <v>162</v>
      </c>
      <c r="E205" s="23"/>
      <c r="F205" s="22">
        <v>64138</v>
      </c>
      <c r="G205" s="22" t="s">
        <v>20</v>
      </c>
      <c r="H205" s="23" t="s">
        <v>150</v>
      </c>
      <c r="I205" s="22">
        <v>62</v>
      </c>
      <c r="J205" s="22">
        <v>1617</v>
      </c>
      <c r="K205" s="22" t="s">
        <v>151</v>
      </c>
      <c r="L205" s="22">
        <v>0.91</v>
      </c>
      <c r="M205" s="22" t="s">
        <v>163</v>
      </c>
      <c r="N205" s="22"/>
      <c r="O205" s="18" t="s">
        <v>732</v>
      </c>
      <c r="P205" s="18" t="s">
        <v>732</v>
      </c>
      <c r="Q205" s="18" t="s">
        <v>732</v>
      </c>
    </row>
    <row r="206" spans="1:17" s="18" customFormat="1" ht="12.75">
      <c r="A206" s="96"/>
      <c r="B206" s="22"/>
      <c r="C206" s="27">
        <f>1449/74245</f>
        <v>1.9516465755269715E-2</v>
      </c>
      <c r="D206" s="22"/>
      <c r="E206" s="23"/>
      <c r="F206" s="22">
        <v>429543</v>
      </c>
      <c r="G206" s="22" t="s">
        <v>22</v>
      </c>
      <c r="H206" s="23" t="s">
        <v>153</v>
      </c>
      <c r="I206" s="22">
        <v>383</v>
      </c>
      <c r="J206" s="22">
        <v>14699</v>
      </c>
      <c r="K206" s="22" t="s">
        <v>122</v>
      </c>
      <c r="L206" s="22">
        <v>0.96</v>
      </c>
      <c r="M206" s="22" t="s">
        <v>164</v>
      </c>
      <c r="N206" s="22"/>
      <c r="O206" s="18" t="s">
        <v>732</v>
      </c>
      <c r="P206" s="18" t="s">
        <v>732</v>
      </c>
      <c r="Q206" s="18" t="s">
        <v>732</v>
      </c>
    </row>
    <row r="207" spans="1:17" s="18" customFormat="1" ht="12.75">
      <c r="A207" s="96"/>
      <c r="B207" s="22"/>
      <c r="C207" s="22"/>
      <c r="D207" s="22"/>
      <c r="E207" s="23"/>
      <c r="F207" s="22">
        <v>310076</v>
      </c>
      <c r="G207" s="22" t="s">
        <v>25</v>
      </c>
      <c r="H207" s="23" t="s">
        <v>155</v>
      </c>
      <c r="I207" s="22">
        <v>262</v>
      </c>
      <c r="J207" s="22">
        <v>4516</v>
      </c>
      <c r="K207" s="22" t="s">
        <v>61</v>
      </c>
      <c r="L207" s="22">
        <v>0.86</v>
      </c>
      <c r="M207" s="22" t="s">
        <v>165</v>
      </c>
      <c r="N207" s="22"/>
      <c r="O207" s="18" t="s">
        <v>732</v>
      </c>
      <c r="P207" s="18" t="s">
        <v>732</v>
      </c>
      <c r="Q207" s="18" t="s">
        <v>732</v>
      </c>
    </row>
    <row r="208" spans="1:17" s="18" customFormat="1" ht="12.75">
      <c r="A208" s="96"/>
      <c r="B208" s="22"/>
      <c r="C208" s="22"/>
      <c r="D208" s="22"/>
      <c r="E208" s="23"/>
      <c r="F208" s="22">
        <v>192806</v>
      </c>
      <c r="G208" s="22" t="s">
        <v>67</v>
      </c>
      <c r="H208" s="23" t="s">
        <v>166</v>
      </c>
      <c r="I208" s="22">
        <v>193</v>
      </c>
      <c r="J208" s="22">
        <v>1790</v>
      </c>
      <c r="K208" s="22" t="s">
        <v>61</v>
      </c>
      <c r="L208" s="22">
        <v>0.96</v>
      </c>
      <c r="M208" s="22" t="s">
        <v>167</v>
      </c>
      <c r="N208" s="22"/>
      <c r="O208" s="18" t="s">
        <v>732</v>
      </c>
      <c r="P208" s="18" t="s">
        <v>732</v>
      </c>
      <c r="Q208" s="18" t="s">
        <v>732</v>
      </c>
    </row>
    <row r="209" spans="1:17" s="18" customFormat="1" ht="12.75">
      <c r="A209" s="96"/>
      <c r="B209" s="22" t="s">
        <v>11</v>
      </c>
      <c r="C209" s="22" t="s">
        <v>168</v>
      </c>
      <c r="D209" s="22" t="s">
        <v>331</v>
      </c>
      <c r="E209" s="23">
        <v>24</v>
      </c>
      <c r="F209" s="22">
        <v>683673</v>
      </c>
      <c r="G209" s="22" t="s">
        <v>14</v>
      </c>
      <c r="H209" s="23" t="s">
        <v>103</v>
      </c>
      <c r="I209" s="22">
        <v>161</v>
      </c>
      <c r="J209" s="22">
        <v>51623</v>
      </c>
      <c r="K209" s="22" t="s">
        <v>169</v>
      </c>
      <c r="L209" s="22">
        <v>1</v>
      </c>
      <c r="M209" s="22" t="s">
        <v>170</v>
      </c>
      <c r="N209" s="22">
        <v>0.24</v>
      </c>
      <c r="O209" s="18" t="s">
        <v>732</v>
      </c>
      <c r="P209" s="18" t="s">
        <v>732</v>
      </c>
      <c r="Q209" s="18" t="s">
        <v>732</v>
      </c>
    </row>
    <row r="210" spans="1:17" s="18" customFormat="1" ht="12.75">
      <c r="A210" s="96"/>
      <c r="B210" s="22"/>
      <c r="C210" s="22" t="s">
        <v>171</v>
      </c>
      <c r="E210" s="23"/>
      <c r="F210" s="22">
        <v>64084</v>
      </c>
      <c r="G210" s="22" t="s">
        <v>20</v>
      </c>
      <c r="H210" s="23" t="s">
        <v>150</v>
      </c>
      <c r="I210" s="22">
        <v>21</v>
      </c>
      <c r="J210" s="22">
        <v>1617</v>
      </c>
      <c r="K210" s="22" t="s">
        <v>169</v>
      </c>
      <c r="L210" s="22">
        <v>1.27</v>
      </c>
      <c r="M210" s="22" t="s">
        <v>172</v>
      </c>
      <c r="N210" s="22"/>
      <c r="O210" s="18" t="s">
        <v>732</v>
      </c>
      <c r="P210" s="18" t="s">
        <v>732</v>
      </c>
      <c r="Q210" s="18" t="s">
        <v>732</v>
      </c>
    </row>
    <row r="211" spans="1:17" s="18" customFormat="1" ht="12.75">
      <c r="A211" s="96"/>
      <c r="B211" s="22"/>
      <c r="C211" s="25">
        <f>407/74245</f>
        <v>5.4818506296720314E-3</v>
      </c>
      <c r="D211" s="22"/>
      <c r="E211" s="23"/>
      <c r="F211" s="22">
        <v>429203</v>
      </c>
      <c r="G211" s="22" t="s">
        <v>22</v>
      </c>
      <c r="H211" s="23" t="s">
        <v>153</v>
      </c>
      <c r="I211" s="22">
        <v>84</v>
      </c>
      <c r="J211" s="22">
        <v>14699</v>
      </c>
      <c r="K211" s="22" t="s">
        <v>65</v>
      </c>
      <c r="L211" s="22">
        <v>0.82</v>
      </c>
      <c r="M211" s="22" t="s">
        <v>173</v>
      </c>
      <c r="N211" s="22"/>
      <c r="O211" s="18" t="s">
        <v>732</v>
      </c>
      <c r="P211" s="18" t="s">
        <v>732</v>
      </c>
      <c r="Q211" s="18" t="s">
        <v>732</v>
      </c>
    </row>
    <row r="212" spans="1:17" s="18" customFormat="1" ht="12.75">
      <c r="A212" s="96"/>
      <c r="B212" s="22"/>
      <c r="C212" s="22"/>
      <c r="D212" s="22"/>
      <c r="E212" s="23"/>
      <c r="F212" s="22">
        <v>309861</v>
      </c>
      <c r="G212" s="22" t="s">
        <v>25</v>
      </c>
      <c r="H212" s="23" t="s">
        <v>155</v>
      </c>
      <c r="I212" s="22">
        <v>81</v>
      </c>
      <c r="J212" s="22">
        <v>4516</v>
      </c>
      <c r="K212" s="22" t="s">
        <v>115</v>
      </c>
      <c r="L212" s="22">
        <v>1.0900000000000001</v>
      </c>
      <c r="M212" s="22" t="s">
        <v>174</v>
      </c>
      <c r="N212" s="22"/>
      <c r="O212" s="18" t="s">
        <v>732</v>
      </c>
      <c r="P212" s="18" t="s">
        <v>732</v>
      </c>
      <c r="Q212" s="18" t="s">
        <v>732</v>
      </c>
    </row>
    <row r="213" spans="1:17" s="18" customFormat="1" ht="12.75">
      <c r="A213" s="96"/>
      <c r="B213" s="22"/>
      <c r="C213" s="22"/>
      <c r="D213" s="22"/>
      <c r="E213" s="23"/>
      <c r="F213" s="22">
        <v>192661</v>
      </c>
      <c r="G213" s="22" t="s">
        <v>67</v>
      </c>
      <c r="H213" s="23" t="s">
        <v>175</v>
      </c>
      <c r="I213" s="22">
        <v>60</v>
      </c>
      <c r="J213" s="22">
        <v>1790</v>
      </c>
      <c r="K213" s="22" t="s">
        <v>61</v>
      </c>
      <c r="L213" s="22">
        <v>1.32</v>
      </c>
      <c r="M213" s="22" t="s">
        <v>176</v>
      </c>
      <c r="N213" s="22"/>
      <c r="O213" s="18" t="s">
        <v>732</v>
      </c>
      <c r="P213" s="18" t="s">
        <v>732</v>
      </c>
      <c r="Q213" s="18" t="s">
        <v>732</v>
      </c>
    </row>
    <row r="214" spans="1:17" s="49" customFormat="1" ht="12.75">
      <c r="A214" s="98" t="s">
        <v>749</v>
      </c>
      <c r="B214" s="4" t="s">
        <v>401</v>
      </c>
      <c r="C214" s="4" t="s">
        <v>556</v>
      </c>
      <c r="D214" s="4" t="s">
        <v>555</v>
      </c>
      <c r="E214" s="2">
        <v>12</v>
      </c>
      <c r="F214" s="4" t="s">
        <v>53</v>
      </c>
      <c r="G214" s="6" t="s">
        <v>431</v>
      </c>
      <c r="H214" s="32" t="s">
        <v>53</v>
      </c>
      <c r="I214" s="33">
        <v>103</v>
      </c>
      <c r="J214" s="33">
        <v>460</v>
      </c>
      <c r="K214" s="7" t="s">
        <v>402</v>
      </c>
      <c r="L214" s="33">
        <v>1</v>
      </c>
      <c r="M214" s="33" t="s">
        <v>21</v>
      </c>
      <c r="N214" s="4" t="s">
        <v>53</v>
      </c>
      <c r="O214" s="53" t="s">
        <v>731</v>
      </c>
      <c r="P214" s="53" t="s">
        <v>731</v>
      </c>
      <c r="Q214" s="53" t="s">
        <v>731</v>
      </c>
    </row>
    <row r="215" spans="1:17" s="49" customFormat="1" ht="12.75">
      <c r="A215" s="98"/>
      <c r="B215" s="4"/>
      <c r="C215" s="4" t="s">
        <v>552</v>
      </c>
      <c r="D215" s="4"/>
      <c r="E215" s="2"/>
      <c r="F215" s="4" t="s">
        <v>53</v>
      </c>
      <c r="G215" s="6" t="s">
        <v>432</v>
      </c>
      <c r="H215" s="32" t="s">
        <v>53</v>
      </c>
      <c r="I215" s="33">
        <v>68</v>
      </c>
      <c r="J215" s="33">
        <v>369</v>
      </c>
      <c r="K215" s="7" t="s">
        <v>402</v>
      </c>
      <c r="L215" s="33">
        <v>0.8</v>
      </c>
      <c r="M215" s="33" t="s">
        <v>553</v>
      </c>
      <c r="N215" s="4"/>
      <c r="O215" s="53" t="s">
        <v>731</v>
      </c>
      <c r="P215" s="53" t="s">
        <v>731</v>
      </c>
      <c r="Q215" s="53" t="s">
        <v>731</v>
      </c>
    </row>
    <row r="216" spans="1:17" s="49" customFormat="1" ht="12.75">
      <c r="A216" s="98"/>
      <c r="B216" s="4"/>
      <c r="C216" s="8">
        <f>245/18244</f>
        <v>1.3429072571804429E-2</v>
      </c>
      <c r="D216" s="4"/>
      <c r="E216" s="2"/>
      <c r="F216" s="4" t="s">
        <v>53</v>
      </c>
      <c r="G216" s="6" t="s">
        <v>433</v>
      </c>
      <c r="H216" s="32" t="s">
        <v>53</v>
      </c>
      <c r="I216" s="33">
        <v>74</v>
      </c>
      <c r="J216" s="33">
        <v>396</v>
      </c>
      <c r="K216" s="7" t="s">
        <v>402</v>
      </c>
      <c r="L216" s="33">
        <v>1</v>
      </c>
      <c r="M216" s="33" t="s">
        <v>554</v>
      </c>
      <c r="N216" s="4"/>
      <c r="O216" s="53" t="s">
        <v>731</v>
      </c>
      <c r="P216" s="53" t="s">
        <v>731</v>
      </c>
      <c r="Q216" s="53" t="s">
        <v>731</v>
      </c>
    </row>
    <row r="217" spans="1:17" s="18" customFormat="1" ht="12.75">
      <c r="A217" s="96" t="s">
        <v>740</v>
      </c>
      <c r="B217" s="22" t="s">
        <v>329</v>
      </c>
      <c r="C217" s="18" t="s">
        <v>427</v>
      </c>
      <c r="D217" s="18" t="s">
        <v>380</v>
      </c>
      <c r="E217" s="20">
        <v>12</v>
      </c>
      <c r="F217" s="18">
        <v>109198</v>
      </c>
      <c r="G217" s="22" t="s">
        <v>14</v>
      </c>
      <c r="H217" s="34" t="s">
        <v>361</v>
      </c>
      <c r="I217" s="28">
        <v>180</v>
      </c>
      <c r="J217" s="28" t="s">
        <v>53</v>
      </c>
      <c r="K217" s="28" t="s">
        <v>23</v>
      </c>
      <c r="L217" s="28">
        <v>1</v>
      </c>
      <c r="M217" s="28" t="s">
        <v>21</v>
      </c>
      <c r="N217" s="18" t="s">
        <v>376</v>
      </c>
      <c r="O217" s="57" t="s">
        <v>731</v>
      </c>
      <c r="P217" s="57" t="s">
        <v>731</v>
      </c>
      <c r="Q217" s="57" t="s">
        <v>731</v>
      </c>
    </row>
    <row r="218" spans="1:17" s="18" customFormat="1" ht="12.75">
      <c r="A218" s="96"/>
      <c r="C218" s="18" t="s">
        <v>369</v>
      </c>
      <c r="E218" s="20"/>
      <c r="F218" s="18">
        <v>109335</v>
      </c>
      <c r="G218" s="22" t="s">
        <v>20</v>
      </c>
      <c r="H218" s="34" t="s">
        <v>362</v>
      </c>
      <c r="I218" s="28">
        <v>169</v>
      </c>
      <c r="J218" s="28" t="s">
        <v>53</v>
      </c>
      <c r="K218" s="28" t="s">
        <v>23</v>
      </c>
      <c r="L218" s="28">
        <v>0.96</v>
      </c>
      <c r="M218" s="28" t="s">
        <v>363</v>
      </c>
      <c r="N218" s="18" t="s">
        <v>379</v>
      </c>
      <c r="O218" s="57" t="s">
        <v>731</v>
      </c>
      <c r="P218" s="57" t="s">
        <v>731</v>
      </c>
      <c r="Q218" s="57" t="s">
        <v>731</v>
      </c>
    </row>
    <row r="219" spans="1:17" s="18" customFormat="1" ht="12.75">
      <c r="A219" s="96"/>
      <c r="C219" s="21">
        <f>631/36094</f>
        <v>1.7482129993904805E-2</v>
      </c>
      <c r="E219" s="20"/>
      <c r="F219" s="18">
        <v>108946</v>
      </c>
      <c r="G219" s="22" t="s">
        <v>22</v>
      </c>
      <c r="H219" s="34" t="s">
        <v>364</v>
      </c>
      <c r="I219" s="28">
        <v>149</v>
      </c>
      <c r="J219" s="28" t="s">
        <v>53</v>
      </c>
      <c r="K219" s="28" t="s">
        <v>23</v>
      </c>
      <c r="L219" s="28">
        <v>0.89</v>
      </c>
      <c r="M219" s="28" t="s">
        <v>365</v>
      </c>
      <c r="O219" s="57" t="s">
        <v>731</v>
      </c>
      <c r="P219" s="57" t="s">
        <v>731</v>
      </c>
      <c r="Q219" s="57" t="s">
        <v>731</v>
      </c>
    </row>
    <row r="220" spans="1:17" s="18" customFormat="1" ht="12.75">
      <c r="A220" s="96"/>
      <c r="E220" s="20"/>
      <c r="F220" s="18">
        <v>108790</v>
      </c>
      <c r="G220" s="22" t="s">
        <v>25</v>
      </c>
      <c r="H220" s="34" t="s">
        <v>366</v>
      </c>
      <c r="I220" s="28">
        <v>133</v>
      </c>
      <c r="J220" s="28" t="s">
        <v>53</v>
      </c>
      <c r="K220" s="28" t="s">
        <v>23</v>
      </c>
      <c r="L220" s="28">
        <v>0.9</v>
      </c>
      <c r="M220" s="28" t="s">
        <v>367</v>
      </c>
      <c r="O220" s="57" t="s">
        <v>731</v>
      </c>
      <c r="P220" s="57" t="s">
        <v>731</v>
      </c>
      <c r="Q220" s="57" t="s">
        <v>731</v>
      </c>
    </row>
    <row r="221" spans="1:17" s="18" customFormat="1" ht="12.75">
      <c r="A221" s="96"/>
      <c r="B221" s="22" t="s">
        <v>329</v>
      </c>
      <c r="C221" s="18" t="s">
        <v>428</v>
      </c>
      <c r="D221" s="18" t="s">
        <v>330</v>
      </c>
      <c r="E221" s="20">
        <v>12</v>
      </c>
      <c r="F221" s="18">
        <v>109442</v>
      </c>
      <c r="G221" s="22" t="s">
        <v>14</v>
      </c>
      <c r="H221" s="34" t="s">
        <v>368</v>
      </c>
      <c r="I221" s="28">
        <v>183</v>
      </c>
      <c r="J221" s="28" t="s">
        <v>53</v>
      </c>
      <c r="K221" s="28" t="s">
        <v>23</v>
      </c>
      <c r="L221" s="28">
        <v>1</v>
      </c>
      <c r="M221" s="28" t="s">
        <v>37</v>
      </c>
      <c r="N221" s="18" t="s">
        <v>377</v>
      </c>
      <c r="O221" s="54">
        <v>140.297</v>
      </c>
      <c r="P221" s="57" t="s">
        <v>731</v>
      </c>
      <c r="Q221" s="55">
        <v>90843.63</v>
      </c>
    </row>
    <row r="222" spans="1:17" s="18" customFormat="1" ht="12.75">
      <c r="A222" s="96"/>
      <c r="C222" s="18" t="s">
        <v>369</v>
      </c>
      <c r="E222" s="20"/>
      <c r="F222" s="18">
        <v>109352</v>
      </c>
      <c r="G222" s="22" t="s">
        <v>20</v>
      </c>
      <c r="H222" s="34" t="s">
        <v>370</v>
      </c>
      <c r="I222" s="28">
        <v>169</v>
      </c>
      <c r="J222" s="28" t="s">
        <v>53</v>
      </c>
      <c r="K222" s="28" t="s">
        <v>23</v>
      </c>
      <c r="L222" s="28">
        <v>0.95</v>
      </c>
      <c r="M222" s="28" t="s">
        <v>371</v>
      </c>
      <c r="N222" s="18" t="s">
        <v>378</v>
      </c>
      <c r="O222" s="54">
        <v>182.21899999999999</v>
      </c>
      <c r="P222" s="57" t="s">
        <v>731</v>
      </c>
      <c r="Q222" s="55">
        <v>124198.09</v>
      </c>
    </row>
    <row r="223" spans="1:17" s="18" customFormat="1" ht="12.75">
      <c r="A223" s="96"/>
      <c r="C223" s="21">
        <f>631/36094</f>
        <v>1.7482129993904805E-2</v>
      </c>
      <c r="E223" s="20"/>
      <c r="F223" s="18">
        <v>109137</v>
      </c>
      <c r="G223" s="22" t="s">
        <v>22</v>
      </c>
      <c r="H223" s="34" t="s">
        <v>372</v>
      </c>
      <c r="I223" s="28">
        <v>137</v>
      </c>
      <c r="J223" s="28" t="s">
        <v>53</v>
      </c>
      <c r="K223" s="28" t="s">
        <v>23</v>
      </c>
      <c r="L223" s="28">
        <v>0.83</v>
      </c>
      <c r="M223" s="28" t="s">
        <v>373</v>
      </c>
      <c r="O223" s="54">
        <v>118.21299999999999</v>
      </c>
      <c r="P223" s="57" t="s">
        <v>731</v>
      </c>
      <c r="Q223" s="55">
        <v>92222.01</v>
      </c>
    </row>
    <row r="224" spans="1:17" s="18" customFormat="1" ht="12.75">
      <c r="A224" s="96"/>
      <c r="E224" s="20"/>
      <c r="F224" s="18">
        <v>108338</v>
      </c>
      <c r="G224" s="22" t="s">
        <v>25</v>
      </c>
      <c r="H224" s="34" t="s">
        <v>374</v>
      </c>
      <c r="I224" s="28">
        <v>142</v>
      </c>
      <c r="J224" s="28" t="s">
        <v>53</v>
      </c>
      <c r="K224" s="28" t="s">
        <v>23</v>
      </c>
      <c r="L224" s="28">
        <v>0.98</v>
      </c>
      <c r="M224" s="28" t="s">
        <v>375</v>
      </c>
      <c r="O224" s="54">
        <v>83.04</v>
      </c>
      <c r="P224" s="57" t="s">
        <v>731</v>
      </c>
      <c r="Q224" s="55">
        <v>54866.53</v>
      </c>
    </row>
    <row r="225" spans="1:17" s="49" customFormat="1" ht="12" customHeight="1">
      <c r="A225" s="97" t="s">
        <v>750</v>
      </c>
      <c r="B225" s="6" t="s">
        <v>401</v>
      </c>
      <c r="C225" s="6" t="s">
        <v>557</v>
      </c>
      <c r="D225" s="6" t="s">
        <v>13</v>
      </c>
      <c r="E225" s="3">
        <v>8.9</v>
      </c>
      <c r="F225" s="6">
        <v>43685</v>
      </c>
      <c r="G225" s="6" t="s">
        <v>14</v>
      </c>
      <c r="H225" s="73" t="s">
        <v>573</v>
      </c>
      <c r="I225" s="75">
        <v>37</v>
      </c>
      <c r="J225" s="85">
        <v>4623</v>
      </c>
      <c r="K225" s="6" t="s">
        <v>402</v>
      </c>
      <c r="L225" s="75">
        <v>1</v>
      </c>
      <c r="M225" s="75" t="s">
        <v>21</v>
      </c>
      <c r="N225" s="6">
        <v>0.43</v>
      </c>
      <c r="O225" s="62" t="s">
        <v>731</v>
      </c>
      <c r="P225" s="62" t="s">
        <v>731</v>
      </c>
      <c r="Q225" s="62" t="s">
        <v>731</v>
      </c>
    </row>
    <row r="226" spans="1:17" s="49" customFormat="1" ht="12.75">
      <c r="A226" s="97"/>
      <c r="B226" s="6"/>
      <c r="C226" s="6" t="s">
        <v>636</v>
      </c>
      <c r="D226" s="6"/>
      <c r="E226" s="3"/>
      <c r="F226" s="6">
        <v>43951</v>
      </c>
      <c r="G226" s="6" t="s">
        <v>20</v>
      </c>
      <c r="H226" s="73">
        <v>363</v>
      </c>
      <c r="I226" s="75">
        <v>26</v>
      </c>
      <c r="J226" s="85">
        <v>4624</v>
      </c>
      <c r="K226" s="6" t="s">
        <v>402</v>
      </c>
      <c r="L226" s="75">
        <v>0.84</v>
      </c>
      <c r="M226" s="75" t="s">
        <v>558</v>
      </c>
      <c r="N226" s="6"/>
      <c r="O226" s="62" t="s">
        <v>731</v>
      </c>
      <c r="P226" s="62" t="s">
        <v>731</v>
      </c>
      <c r="Q226" s="62" t="s">
        <v>731</v>
      </c>
    </row>
    <row r="227" spans="1:17" s="49" customFormat="1" ht="12.75">
      <c r="A227" s="97"/>
      <c r="B227" s="6"/>
      <c r="C227" s="13">
        <f>148/21068</f>
        <v>7.024871843554205E-3</v>
      </c>
      <c r="D227" s="6"/>
      <c r="E227" s="3"/>
      <c r="F227" s="6">
        <v>44300</v>
      </c>
      <c r="G227" s="6" t="s">
        <v>22</v>
      </c>
      <c r="H227" s="73">
        <v>449</v>
      </c>
      <c r="I227" s="75">
        <v>33</v>
      </c>
      <c r="J227" s="85">
        <v>4623</v>
      </c>
      <c r="K227" s="6" t="s">
        <v>402</v>
      </c>
      <c r="L227" s="75">
        <v>1.2</v>
      </c>
      <c r="M227" s="75" t="s">
        <v>559</v>
      </c>
      <c r="N227" s="6"/>
      <c r="O227" s="62" t="s">
        <v>731</v>
      </c>
      <c r="P227" s="62" t="s">
        <v>731</v>
      </c>
      <c r="Q227" s="62" t="s">
        <v>731</v>
      </c>
    </row>
    <row r="228" spans="1:17" s="49" customFormat="1" ht="12.75">
      <c r="A228" s="97"/>
      <c r="B228" s="6"/>
      <c r="C228" s="6"/>
      <c r="D228" s="6"/>
      <c r="E228" s="3"/>
      <c r="F228" s="6">
        <v>44674</v>
      </c>
      <c r="G228" s="6" t="s">
        <v>25</v>
      </c>
      <c r="H228" s="73">
        <v>536</v>
      </c>
      <c r="I228" s="75">
        <v>32</v>
      </c>
      <c r="J228" s="85">
        <v>4624</v>
      </c>
      <c r="K228" s="6" t="s">
        <v>402</v>
      </c>
      <c r="L228" s="75">
        <v>1.27</v>
      </c>
      <c r="M228" s="75" t="s">
        <v>560</v>
      </c>
      <c r="N228" s="6"/>
      <c r="O228" s="62" t="s">
        <v>731</v>
      </c>
      <c r="P228" s="62" t="s">
        <v>731</v>
      </c>
      <c r="Q228" s="62" t="s">
        <v>731</v>
      </c>
    </row>
    <row r="229" spans="1:17" s="49" customFormat="1" ht="12.75">
      <c r="A229" s="97"/>
      <c r="B229" s="6"/>
      <c r="C229" s="6"/>
      <c r="D229" s="6"/>
      <c r="E229" s="3"/>
      <c r="F229" s="6">
        <v>44514</v>
      </c>
      <c r="G229" s="6" t="s">
        <v>67</v>
      </c>
      <c r="H229" s="73">
        <v>665</v>
      </c>
      <c r="I229" s="75">
        <v>20</v>
      </c>
      <c r="J229" s="85">
        <v>4623</v>
      </c>
      <c r="K229" s="6" t="s">
        <v>402</v>
      </c>
      <c r="L229" s="75">
        <v>0.92</v>
      </c>
      <c r="M229" s="75" t="s">
        <v>561</v>
      </c>
      <c r="N229" s="6"/>
      <c r="O229" s="62" t="s">
        <v>731</v>
      </c>
      <c r="P229" s="62" t="s">
        <v>731</v>
      </c>
      <c r="Q229" s="62" t="s">
        <v>731</v>
      </c>
    </row>
    <row r="230" spans="1:17" s="49" customFormat="1" ht="12.75">
      <c r="A230" s="97"/>
      <c r="B230" s="6" t="s">
        <v>137</v>
      </c>
      <c r="C230" s="6" t="s">
        <v>557</v>
      </c>
      <c r="D230" s="6" t="s">
        <v>13</v>
      </c>
      <c r="E230" s="3">
        <v>8.9</v>
      </c>
      <c r="F230" s="6">
        <v>68759</v>
      </c>
      <c r="G230" s="6" t="s">
        <v>14</v>
      </c>
      <c r="H230" s="73" t="s">
        <v>574</v>
      </c>
      <c r="I230" s="75">
        <v>38</v>
      </c>
      <c r="J230" s="85">
        <v>7121</v>
      </c>
      <c r="K230" s="6" t="s">
        <v>402</v>
      </c>
      <c r="L230" s="75">
        <v>1</v>
      </c>
      <c r="M230" s="75" t="s">
        <v>21</v>
      </c>
      <c r="N230" s="6">
        <v>0.5</v>
      </c>
      <c r="O230" s="62" t="s">
        <v>731</v>
      </c>
      <c r="P230" s="62" t="s">
        <v>731</v>
      </c>
      <c r="Q230" s="62" t="s">
        <v>731</v>
      </c>
    </row>
    <row r="231" spans="1:17" s="49" customFormat="1" ht="12.75">
      <c r="A231" s="97"/>
      <c r="B231" s="6"/>
      <c r="C231" s="6" t="s">
        <v>637</v>
      </c>
      <c r="D231" s="6"/>
      <c r="E231" s="3"/>
      <c r="F231" s="6">
        <v>69197</v>
      </c>
      <c r="G231" s="6" t="s">
        <v>20</v>
      </c>
      <c r="H231" s="73">
        <v>379</v>
      </c>
      <c r="I231" s="75">
        <v>21</v>
      </c>
      <c r="J231" s="85">
        <v>7122</v>
      </c>
      <c r="K231" s="6" t="s">
        <v>402</v>
      </c>
      <c r="L231" s="75">
        <v>0.88</v>
      </c>
      <c r="M231" s="75" t="s">
        <v>562</v>
      </c>
      <c r="N231" s="6"/>
      <c r="O231" s="62" t="s">
        <v>731</v>
      </c>
      <c r="P231" s="62" t="s">
        <v>731</v>
      </c>
      <c r="Q231" s="62" t="s">
        <v>731</v>
      </c>
    </row>
    <row r="232" spans="1:17" s="49" customFormat="1" ht="12.75">
      <c r="A232" s="97"/>
      <c r="B232" s="6"/>
      <c r="C232" s="13">
        <f>116/32319</f>
        <v>3.5892199634889694E-3</v>
      </c>
      <c r="D232" s="6"/>
      <c r="E232" s="3"/>
      <c r="F232" s="6">
        <v>69276</v>
      </c>
      <c r="G232" s="6" t="s">
        <v>22</v>
      </c>
      <c r="H232" s="73">
        <v>462</v>
      </c>
      <c r="I232" s="75">
        <v>25</v>
      </c>
      <c r="J232" s="85">
        <v>7122</v>
      </c>
      <c r="K232" s="6" t="s">
        <v>402</v>
      </c>
      <c r="L232" s="75">
        <v>1.28</v>
      </c>
      <c r="M232" s="75" t="s">
        <v>563</v>
      </c>
      <c r="N232" s="6"/>
      <c r="O232" s="62" t="s">
        <v>731</v>
      </c>
      <c r="P232" s="62" t="s">
        <v>731</v>
      </c>
      <c r="Q232" s="62" t="s">
        <v>731</v>
      </c>
    </row>
    <row r="233" spans="1:17" s="49" customFormat="1" ht="12.75">
      <c r="A233" s="97"/>
      <c r="B233" s="6"/>
      <c r="C233" s="6"/>
      <c r="D233" s="6"/>
      <c r="E233" s="3"/>
      <c r="F233" s="6">
        <v>69975</v>
      </c>
      <c r="G233" s="6" t="s">
        <v>25</v>
      </c>
      <c r="H233" s="73">
        <v>545</v>
      </c>
      <c r="I233" s="75">
        <v>17</v>
      </c>
      <c r="J233" s="85">
        <v>7122</v>
      </c>
      <c r="K233" s="6" t="s">
        <v>402</v>
      </c>
      <c r="L233" s="75">
        <v>0.84</v>
      </c>
      <c r="M233" s="75" t="s">
        <v>564</v>
      </c>
      <c r="N233" s="6"/>
      <c r="O233" s="62" t="s">
        <v>731</v>
      </c>
      <c r="P233" s="62" t="s">
        <v>731</v>
      </c>
      <c r="Q233" s="62" t="s">
        <v>731</v>
      </c>
    </row>
    <row r="234" spans="1:17" s="49" customFormat="1" ht="12.75">
      <c r="A234" s="97"/>
      <c r="B234" s="6"/>
      <c r="C234" s="6"/>
      <c r="D234" s="6"/>
      <c r="E234" s="3"/>
      <c r="F234" s="6">
        <v>70277</v>
      </c>
      <c r="G234" s="6" t="s">
        <v>67</v>
      </c>
      <c r="H234" s="73">
        <v>667</v>
      </c>
      <c r="I234" s="75">
        <v>15</v>
      </c>
      <c r="J234" s="85">
        <v>7122</v>
      </c>
      <c r="K234" s="6" t="s">
        <v>402</v>
      </c>
      <c r="L234" s="75">
        <v>0.87</v>
      </c>
      <c r="M234" s="75" t="s">
        <v>565</v>
      </c>
      <c r="N234" s="6"/>
      <c r="O234" s="62" t="s">
        <v>731</v>
      </c>
      <c r="P234" s="62" t="s">
        <v>731</v>
      </c>
      <c r="Q234" s="62" t="s">
        <v>731</v>
      </c>
    </row>
    <row r="235" spans="1:17" s="49" customFormat="1" ht="12.75">
      <c r="A235" s="97"/>
      <c r="B235" s="6" t="s">
        <v>401</v>
      </c>
      <c r="C235" s="6" t="s">
        <v>387</v>
      </c>
      <c r="D235" s="6" t="s">
        <v>13</v>
      </c>
      <c r="E235" s="3">
        <v>8.9</v>
      </c>
      <c r="F235" s="6">
        <v>43685</v>
      </c>
      <c r="G235" s="6" t="s">
        <v>14</v>
      </c>
      <c r="H235" s="73" t="s">
        <v>573</v>
      </c>
      <c r="I235" s="75">
        <v>140</v>
      </c>
      <c r="J235" s="85">
        <v>4623</v>
      </c>
      <c r="K235" s="6" t="s">
        <v>402</v>
      </c>
      <c r="L235" s="75">
        <v>1</v>
      </c>
      <c r="M235" s="75" t="s">
        <v>21</v>
      </c>
      <c r="N235" s="6">
        <v>0.95</v>
      </c>
      <c r="O235" s="51">
        <v>74.587000000000003</v>
      </c>
      <c r="P235" s="52">
        <v>2430.92</v>
      </c>
      <c r="Q235" s="62" t="s">
        <v>731</v>
      </c>
    </row>
    <row r="236" spans="1:17" s="49" customFormat="1" ht="12.75">
      <c r="A236" s="97"/>
      <c r="B236" s="6"/>
      <c r="C236" s="6" t="s">
        <v>638</v>
      </c>
      <c r="D236" s="6"/>
      <c r="E236" s="3"/>
      <c r="F236" s="6">
        <v>43951</v>
      </c>
      <c r="G236" s="6" t="s">
        <v>20</v>
      </c>
      <c r="H236" s="73">
        <v>363</v>
      </c>
      <c r="I236" s="75">
        <v>141</v>
      </c>
      <c r="J236" s="85">
        <v>4624</v>
      </c>
      <c r="K236" s="6" t="s">
        <v>402</v>
      </c>
      <c r="L236" s="75">
        <v>0.98</v>
      </c>
      <c r="M236" s="75" t="s">
        <v>566</v>
      </c>
      <c r="N236" s="6"/>
      <c r="O236" s="51">
        <v>144.89500000000001</v>
      </c>
      <c r="P236" s="52">
        <v>4818.74</v>
      </c>
      <c r="Q236" s="62" t="s">
        <v>731</v>
      </c>
    </row>
    <row r="237" spans="1:17" s="49" customFormat="1" ht="12.75">
      <c r="A237" s="97"/>
      <c r="B237" s="6"/>
      <c r="C237" s="10">
        <f>685/21068</f>
        <v>3.2513764951585346E-2</v>
      </c>
      <c r="D237" s="6"/>
      <c r="E237" s="3"/>
      <c r="F237" s="6">
        <v>44300</v>
      </c>
      <c r="G237" s="6" t="s">
        <v>22</v>
      </c>
      <c r="H237" s="73">
        <v>449</v>
      </c>
      <c r="I237" s="75">
        <v>135</v>
      </c>
      <c r="J237" s="85">
        <v>4623</v>
      </c>
      <c r="K237" s="6" t="s">
        <v>402</v>
      </c>
      <c r="L237" s="75">
        <v>0.93</v>
      </c>
      <c r="M237" s="75" t="s">
        <v>415</v>
      </c>
      <c r="N237" s="6"/>
      <c r="O237" s="51">
        <v>65.046000000000006</v>
      </c>
      <c r="P237" s="52">
        <v>2279.52</v>
      </c>
      <c r="Q237" s="62" t="s">
        <v>731</v>
      </c>
    </row>
    <row r="238" spans="1:17" s="49" customFormat="1" ht="12.75">
      <c r="A238" s="97"/>
      <c r="B238" s="6"/>
      <c r="C238" s="6"/>
      <c r="D238" s="6"/>
      <c r="E238" s="3"/>
      <c r="F238" s="6">
        <v>44674</v>
      </c>
      <c r="G238" s="6" t="s">
        <v>25</v>
      </c>
      <c r="H238" s="73">
        <v>536</v>
      </c>
      <c r="I238" s="75">
        <v>135</v>
      </c>
      <c r="J238" s="85">
        <v>4624</v>
      </c>
      <c r="K238" s="6" t="s">
        <v>402</v>
      </c>
      <c r="L238" s="75">
        <v>0.92</v>
      </c>
      <c r="M238" s="75" t="s">
        <v>567</v>
      </c>
      <c r="N238" s="6"/>
      <c r="O238" s="51">
        <v>46.034999999999997</v>
      </c>
      <c r="P238" s="52">
        <v>1630.81</v>
      </c>
      <c r="Q238" s="62" t="s">
        <v>731</v>
      </c>
    </row>
    <row r="239" spans="1:17" s="49" customFormat="1" ht="12.75">
      <c r="A239" s="97"/>
      <c r="B239" s="6"/>
      <c r="C239" s="6"/>
      <c r="D239" s="6"/>
      <c r="E239" s="3"/>
      <c r="F239" s="6">
        <v>44514</v>
      </c>
      <c r="G239" s="6" t="s">
        <v>67</v>
      </c>
      <c r="H239" s="73">
        <v>665</v>
      </c>
      <c r="I239" s="75">
        <v>134</v>
      </c>
      <c r="J239" s="85">
        <v>4623</v>
      </c>
      <c r="K239" s="6" t="s">
        <v>402</v>
      </c>
      <c r="L239" s="75">
        <v>0.97</v>
      </c>
      <c r="M239" s="75" t="s">
        <v>568</v>
      </c>
      <c r="N239" s="6"/>
      <c r="O239" s="51">
        <v>29.632999999999999</v>
      </c>
      <c r="P239" s="52">
        <v>995.66</v>
      </c>
      <c r="Q239" s="62" t="s">
        <v>731</v>
      </c>
    </row>
    <row r="240" spans="1:17" s="49" customFormat="1" ht="12.75">
      <c r="A240" s="97"/>
      <c r="B240" s="6" t="s">
        <v>137</v>
      </c>
      <c r="C240" s="6" t="s">
        <v>387</v>
      </c>
      <c r="D240" s="6" t="s">
        <v>13</v>
      </c>
      <c r="E240" s="3">
        <v>8.9</v>
      </c>
      <c r="F240" s="6">
        <v>68759</v>
      </c>
      <c r="G240" s="6" t="s">
        <v>14</v>
      </c>
      <c r="H240" s="73" t="s">
        <v>574</v>
      </c>
      <c r="I240" s="75">
        <v>153</v>
      </c>
      <c r="J240" s="85">
        <v>7121</v>
      </c>
      <c r="K240" s="6" t="s">
        <v>402</v>
      </c>
      <c r="L240" s="75">
        <v>1</v>
      </c>
      <c r="M240" s="75" t="s">
        <v>21</v>
      </c>
      <c r="N240" s="6">
        <v>0.14000000000000001</v>
      </c>
      <c r="O240" s="51">
        <v>74.811000000000007</v>
      </c>
      <c r="P240" s="52">
        <v>4824.37</v>
      </c>
      <c r="Q240" s="62" t="s">
        <v>731</v>
      </c>
    </row>
    <row r="241" spans="1:17" s="49" customFormat="1" ht="12.75">
      <c r="A241" s="97"/>
      <c r="B241" s="6"/>
      <c r="C241" s="6" t="s">
        <v>639</v>
      </c>
      <c r="D241" s="6"/>
      <c r="E241" s="3"/>
      <c r="F241" s="6">
        <v>69197</v>
      </c>
      <c r="G241" s="6" t="s">
        <v>20</v>
      </c>
      <c r="H241" s="73">
        <v>379</v>
      </c>
      <c r="I241" s="75">
        <v>156</v>
      </c>
      <c r="J241" s="85">
        <v>7122</v>
      </c>
      <c r="K241" s="6" t="s">
        <v>402</v>
      </c>
      <c r="L241" s="75">
        <v>1.29</v>
      </c>
      <c r="M241" s="75" t="s">
        <v>569</v>
      </c>
      <c r="N241" s="6"/>
      <c r="O241" s="51">
        <v>211.53200000000001</v>
      </c>
      <c r="P241" s="52">
        <v>10574.51</v>
      </c>
      <c r="Q241" s="62" t="s">
        <v>731</v>
      </c>
    </row>
    <row r="242" spans="1:17" s="49" customFormat="1" ht="12.75">
      <c r="A242" s="97"/>
      <c r="B242" s="6"/>
      <c r="C242" s="10">
        <f>644/32319</f>
        <v>1.9926359107645657E-2</v>
      </c>
      <c r="D242" s="6"/>
      <c r="E242" s="3"/>
      <c r="F242" s="6">
        <v>69276</v>
      </c>
      <c r="G242" s="6" t="s">
        <v>22</v>
      </c>
      <c r="H242" s="73">
        <v>462</v>
      </c>
      <c r="I242" s="75">
        <v>136</v>
      </c>
      <c r="J242" s="85">
        <v>7122</v>
      </c>
      <c r="K242" s="6" t="s">
        <v>402</v>
      </c>
      <c r="L242" s="75">
        <v>1.24</v>
      </c>
      <c r="M242" s="75" t="s">
        <v>570</v>
      </c>
      <c r="N242" s="6"/>
      <c r="O242" s="51">
        <v>77.361999999999995</v>
      </c>
      <c r="P242" s="52">
        <v>4023.29</v>
      </c>
      <c r="Q242" s="62" t="s">
        <v>731</v>
      </c>
    </row>
    <row r="243" spans="1:17" s="49" customFormat="1" ht="12.75">
      <c r="A243" s="97"/>
      <c r="B243" s="6"/>
      <c r="C243" s="6"/>
      <c r="D243" s="6"/>
      <c r="E243" s="3"/>
      <c r="F243" s="6">
        <v>69975</v>
      </c>
      <c r="G243" s="6" t="s">
        <v>25</v>
      </c>
      <c r="H243" s="73">
        <v>545</v>
      </c>
      <c r="I243" s="75">
        <v>98</v>
      </c>
      <c r="J243" s="85">
        <v>7122</v>
      </c>
      <c r="K243" s="6" t="s">
        <v>402</v>
      </c>
      <c r="L243" s="75">
        <v>0.92</v>
      </c>
      <c r="M243" s="75" t="s">
        <v>571</v>
      </c>
      <c r="N243" s="6"/>
      <c r="O243" s="51">
        <v>44.05</v>
      </c>
      <c r="P243" s="52">
        <v>3087.71</v>
      </c>
      <c r="Q243" s="62" t="s">
        <v>731</v>
      </c>
    </row>
    <row r="244" spans="1:17" s="49" customFormat="1" ht="12.75">
      <c r="A244" s="97"/>
      <c r="B244" s="6"/>
      <c r="C244" s="6"/>
      <c r="D244" s="6"/>
      <c r="E244" s="3"/>
      <c r="F244" s="6">
        <v>70277</v>
      </c>
      <c r="G244" s="6" t="s">
        <v>67</v>
      </c>
      <c r="H244" s="73">
        <v>667</v>
      </c>
      <c r="I244" s="75">
        <v>101</v>
      </c>
      <c r="J244" s="85">
        <v>7122</v>
      </c>
      <c r="K244" s="6" t="s">
        <v>402</v>
      </c>
      <c r="L244" s="75">
        <v>1.1399999999999999</v>
      </c>
      <c r="M244" s="75" t="s">
        <v>572</v>
      </c>
      <c r="N244" s="6"/>
      <c r="O244" s="51">
        <v>28.544</v>
      </c>
      <c r="P244" s="52">
        <v>1614.69</v>
      </c>
      <c r="Q244" s="62" t="s">
        <v>731</v>
      </c>
    </row>
    <row r="245" spans="1:17" s="49" customFormat="1" ht="12.75">
      <c r="A245" s="97"/>
      <c r="B245" s="6" t="s">
        <v>401</v>
      </c>
      <c r="C245" s="6" t="s">
        <v>586</v>
      </c>
      <c r="D245" s="6" t="s">
        <v>13</v>
      </c>
      <c r="E245" s="3">
        <v>8.9</v>
      </c>
      <c r="F245" s="6">
        <v>43685</v>
      </c>
      <c r="G245" s="6" t="s">
        <v>14</v>
      </c>
      <c r="H245" s="60" t="s">
        <v>584</v>
      </c>
      <c r="I245" s="61">
        <v>61</v>
      </c>
      <c r="J245" s="86">
        <v>4623</v>
      </c>
      <c r="K245" s="7" t="s">
        <v>402</v>
      </c>
      <c r="L245" s="61">
        <v>1</v>
      </c>
      <c r="M245" s="61" t="s">
        <v>21</v>
      </c>
      <c r="N245" s="6">
        <v>0.13</v>
      </c>
      <c r="O245" s="51">
        <v>35.887700000000002</v>
      </c>
      <c r="P245" s="52">
        <v>2417.85</v>
      </c>
      <c r="Q245" s="62" t="s">
        <v>731</v>
      </c>
    </row>
    <row r="246" spans="1:17" s="49" customFormat="1" ht="12.75">
      <c r="A246" s="97"/>
      <c r="B246" s="6"/>
      <c r="C246" s="6" t="s">
        <v>575</v>
      </c>
      <c r="D246" s="6"/>
      <c r="E246" s="3"/>
      <c r="F246" s="6">
        <v>43951</v>
      </c>
      <c r="G246" s="6" t="s">
        <v>20</v>
      </c>
      <c r="H246" s="60">
        <v>363</v>
      </c>
      <c r="I246" s="61">
        <v>76</v>
      </c>
      <c r="J246" s="86">
        <v>4624</v>
      </c>
      <c r="K246" s="7" t="s">
        <v>402</v>
      </c>
      <c r="L246" s="61">
        <v>1.1399999999999999</v>
      </c>
      <c r="M246" s="61" t="s">
        <v>576</v>
      </c>
      <c r="N246" s="6"/>
      <c r="O246" s="51">
        <v>66.7453</v>
      </c>
      <c r="P246" s="52">
        <v>3944.56</v>
      </c>
      <c r="Q246" s="62" t="s">
        <v>731</v>
      </c>
    </row>
    <row r="247" spans="1:17" s="49" customFormat="1" ht="12.75">
      <c r="A247" s="97"/>
      <c r="B247" s="6"/>
      <c r="C247" s="10">
        <f>284/21068</f>
        <v>1.3480159483576989E-2</v>
      </c>
      <c r="D247" s="6"/>
      <c r="E247" s="3"/>
      <c r="F247" s="6">
        <v>44300</v>
      </c>
      <c r="G247" s="6" t="s">
        <v>22</v>
      </c>
      <c r="H247" s="60">
        <v>449</v>
      </c>
      <c r="I247" s="61">
        <v>69</v>
      </c>
      <c r="J247" s="86">
        <v>4623</v>
      </c>
      <c r="K247" s="7" t="s">
        <v>402</v>
      </c>
      <c r="L247" s="61">
        <v>0.9</v>
      </c>
      <c r="M247" s="61" t="s">
        <v>577</v>
      </c>
      <c r="N247" s="6"/>
      <c r="O247" s="51">
        <v>31.367699999999999</v>
      </c>
      <c r="P247" s="52">
        <v>2348.13</v>
      </c>
      <c r="Q247" s="62" t="s">
        <v>731</v>
      </c>
    </row>
    <row r="248" spans="1:17" s="49" customFormat="1" ht="12.75">
      <c r="A248" s="97"/>
      <c r="B248" s="6"/>
      <c r="C248" s="6"/>
      <c r="D248" s="6"/>
      <c r="E248" s="3"/>
      <c r="F248" s="6">
        <v>44674</v>
      </c>
      <c r="G248" s="6" t="s">
        <v>25</v>
      </c>
      <c r="H248" s="60">
        <v>536</v>
      </c>
      <c r="I248" s="61">
        <v>59</v>
      </c>
      <c r="J248" s="86">
        <v>4624</v>
      </c>
      <c r="K248" s="7" t="s">
        <v>402</v>
      </c>
      <c r="L248" s="61">
        <v>0.69</v>
      </c>
      <c r="M248" s="61" t="s">
        <v>578</v>
      </c>
      <c r="N248" s="6"/>
      <c r="O248" s="51">
        <v>20.3188</v>
      </c>
      <c r="P248" s="52">
        <v>1983.95</v>
      </c>
      <c r="Q248" s="62" t="s">
        <v>731</v>
      </c>
    </row>
    <row r="249" spans="1:17" s="49" customFormat="1" ht="12.75">
      <c r="A249" s="97"/>
      <c r="B249" s="6"/>
      <c r="C249" s="6"/>
      <c r="D249" s="6"/>
      <c r="E249" s="3"/>
      <c r="F249" s="6">
        <v>44514</v>
      </c>
      <c r="G249" s="6" t="s">
        <v>67</v>
      </c>
      <c r="H249" s="60">
        <v>665</v>
      </c>
      <c r="I249" s="61">
        <v>57</v>
      </c>
      <c r="J249" s="86">
        <v>4623</v>
      </c>
      <c r="K249" s="7" t="s">
        <v>402</v>
      </c>
      <c r="L249" s="61">
        <v>0.68</v>
      </c>
      <c r="M249" s="61" t="s">
        <v>579</v>
      </c>
      <c r="N249" s="6"/>
      <c r="O249" s="51">
        <v>14.0878</v>
      </c>
      <c r="P249" s="52">
        <v>1395.79</v>
      </c>
      <c r="Q249" s="62" t="s">
        <v>731</v>
      </c>
    </row>
    <row r="250" spans="1:17" s="49" customFormat="1" ht="12.75">
      <c r="A250" s="97"/>
      <c r="B250" s="6" t="s">
        <v>137</v>
      </c>
      <c r="C250" s="6" t="s">
        <v>586</v>
      </c>
      <c r="D250" s="14" t="s">
        <v>13</v>
      </c>
      <c r="E250" s="3">
        <v>8.9</v>
      </c>
      <c r="F250" s="6">
        <v>68759</v>
      </c>
      <c r="G250" s="6" t="s">
        <v>14</v>
      </c>
      <c r="H250" s="60" t="s">
        <v>574</v>
      </c>
      <c r="I250" s="61">
        <v>70</v>
      </c>
      <c r="J250" s="86">
        <v>7121</v>
      </c>
      <c r="K250" s="7" t="s">
        <v>402</v>
      </c>
      <c r="L250" s="61">
        <v>1</v>
      </c>
      <c r="M250" s="61" t="s">
        <v>21</v>
      </c>
      <c r="N250" s="6">
        <v>0.01</v>
      </c>
      <c r="O250" s="51">
        <v>37.03</v>
      </c>
      <c r="P250" s="52">
        <v>4652.6400000000003</v>
      </c>
      <c r="Q250" s="62" t="s">
        <v>731</v>
      </c>
    </row>
    <row r="251" spans="1:17" s="49" customFormat="1" ht="12.75">
      <c r="A251" s="97"/>
      <c r="B251" s="6"/>
      <c r="C251" s="6" t="s">
        <v>580</v>
      </c>
      <c r="D251" s="6"/>
      <c r="E251" s="6"/>
      <c r="F251" s="6">
        <v>69197</v>
      </c>
      <c r="G251" s="6" t="s">
        <v>20</v>
      </c>
      <c r="H251" s="60">
        <v>379</v>
      </c>
      <c r="I251" s="61">
        <v>82</v>
      </c>
      <c r="J251" s="86">
        <v>7122</v>
      </c>
      <c r="K251" s="7" t="s">
        <v>402</v>
      </c>
      <c r="L251" s="61">
        <v>1.38</v>
      </c>
      <c r="M251" s="61" t="s">
        <v>581</v>
      </c>
      <c r="N251" s="6"/>
      <c r="O251" s="51">
        <v>101.319</v>
      </c>
      <c r="P251" s="52">
        <v>9224.69</v>
      </c>
      <c r="Q251" s="62" t="s">
        <v>731</v>
      </c>
    </row>
    <row r="252" spans="1:17" s="49" customFormat="1" ht="12.75">
      <c r="A252" s="97"/>
      <c r="B252" s="6"/>
      <c r="C252" s="13">
        <f>282/32319</f>
        <v>8.7255174974473215E-3</v>
      </c>
      <c r="D252" s="6"/>
      <c r="E252" s="6"/>
      <c r="F252" s="6">
        <v>69276</v>
      </c>
      <c r="G252" s="6" t="s">
        <v>22</v>
      </c>
      <c r="H252" s="60">
        <v>462</v>
      </c>
      <c r="I252" s="61">
        <v>73</v>
      </c>
      <c r="J252" s="86">
        <v>7122</v>
      </c>
      <c r="K252" s="7" t="s">
        <v>402</v>
      </c>
      <c r="L252" s="61">
        <v>1.24</v>
      </c>
      <c r="M252" s="61" t="s">
        <v>582</v>
      </c>
      <c r="N252" s="6"/>
      <c r="O252" s="51">
        <v>37.588999999999999</v>
      </c>
      <c r="P252" s="52">
        <v>3808.68</v>
      </c>
      <c r="Q252" s="62" t="s">
        <v>731</v>
      </c>
    </row>
    <row r="253" spans="1:17" s="49" customFormat="1" ht="12.75">
      <c r="A253" s="97"/>
      <c r="B253" s="6"/>
      <c r="C253" s="6"/>
      <c r="D253" s="6"/>
      <c r="E253" s="6"/>
      <c r="F253" s="6">
        <v>69975</v>
      </c>
      <c r="G253" s="6" t="s">
        <v>25</v>
      </c>
      <c r="H253" s="60">
        <v>545</v>
      </c>
      <c r="I253" s="61">
        <v>42</v>
      </c>
      <c r="J253" s="86">
        <v>7122</v>
      </c>
      <c r="K253" s="7" t="s">
        <v>402</v>
      </c>
      <c r="L253" s="61">
        <v>0.69</v>
      </c>
      <c r="M253" s="61" t="s">
        <v>578</v>
      </c>
      <c r="N253" s="6"/>
      <c r="O253" s="51">
        <v>20.143000000000001</v>
      </c>
      <c r="P253" s="52">
        <v>3667.87</v>
      </c>
      <c r="Q253" s="62" t="s">
        <v>731</v>
      </c>
    </row>
    <row r="254" spans="1:17" s="49" customFormat="1" ht="12.75">
      <c r="A254" s="97"/>
      <c r="B254" s="6"/>
      <c r="C254" s="6"/>
      <c r="D254" s="6"/>
      <c r="E254" s="6"/>
      <c r="F254" s="6">
        <v>70277</v>
      </c>
      <c r="G254" s="6" t="s">
        <v>67</v>
      </c>
      <c r="H254" s="60">
        <v>667</v>
      </c>
      <c r="I254" s="61">
        <v>55</v>
      </c>
      <c r="J254" s="86">
        <v>7122</v>
      </c>
      <c r="K254" s="7" t="s">
        <v>402</v>
      </c>
      <c r="L254" s="61">
        <v>0.94</v>
      </c>
      <c r="M254" s="61" t="s">
        <v>583</v>
      </c>
      <c r="N254" s="6"/>
      <c r="O254" s="51">
        <v>14.304</v>
      </c>
      <c r="P254" s="52">
        <v>1911.92</v>
      </c>
      <c r="Q254" s="62" t="s">
        <v>731</v>
      </c>
    </row>
    <row r="255" spans="1:17" s="49" customFormat="1" ht="12.75">
      <c r="A255" s="97"/>
      <c r="B255" s="6" t="s">
        <v>401</v>
      </c>
      <c r="C255" s="6" t="s">
        <v>587</v>
      </c>
      <c r="D255" s="6" t="s">
        <v>13</v>
      </c>
      <c r="E255" s="3">
        <v>8.9</v>
      </c>
      <c r="F255" s="6">
        <v>43685</v>
      </c>
      <c r="G255" s="6" t="s">
        <v>14</v>
      </c>
      <c r="H255" s="60" t="s">
        <v>584</v>
      </c>
      <c r="I255" s="49">
        <v>31</v>
      </c>
      <c r="J255" s="85">
        <v>4623</v>
      </c>
      <c r="K255" s="6" t="s">
        <v>402</v>
      </c>
      <c r="L255" s="49">
        <v>1</v>
      </c>
      <c r="M255" s="49" t="s">
        <v>37</v>
      </c>
      <c r="N255" s="49">
        <v>0.12</v>
      </c>
      <c r="O255" s="62" t="s">
        <v>731</v>
      </c>
      <c r="P255" s="62" t="s">
        <v>731</v>
      </c>
      <c r="Q255" s="62" t="s">
        <v>731</v>
      </c>
    </row>
    <row r="256" spans="1:17" s="49" customFormat="1" ht="12.75">
      <c r="A256" s="97"/>
      <c r="B256" s="6"/>
      <c r="C256" s="6" t="s">
        <v>640</v>
      </c>
      <c r="D256" s="6"/>
      <c r="E256" s="3"/>
      <c r="F256" s="6">
        <v>43951</v>
      </c>
      <c r="G256" s="6" t="s">
        <v>20</v>
      </c>
      <c r="H256" s="60">
        <v>363</v>
      </c>
      <c r="I256" s="49">
        <v>32</v>
      </c>
      <c r="J256" s="85">
        <v>4624</v>
      </c>
      <c r="K256" s="6" t="s">
        <v>402</v>
      </c>
      <c r="L256" s="49">
        <v>0.94</v>
      </c>
      <c r="M256" s="49" t="s">
        <v>591</v>
      </c>
      <c r="O256" s="62" t="s">
        <v>731</v>
      </c>
      <c r="P256" s="62" t="s">
        <v>731</v>
      </c>
      <c r="Q256" s="62" t="s">
        <v>731</v>
      </c>
    </row>
    <row r="257" spans="1:17" s="49" customFormat="1" ht="12.75">
      <c r="A257" s="97"/>
      <c r="B257" s="6"/>
      <c r="C257" s="13">
        <f>121/21068</f>
        <v>5.7433073856085056E-3</v>
      </c>
      <c r="D257" s="6"/>
      <c r="E257" s="3"/>
      <c r="F257" s="6">
        <v>44300</v>
      </c>
      <c r="G257" s="6" t="s">
        <v>22</v>
      </c>
      <c r="H257" s="60">
        <v>449</v>
      </c>
      <c r="I257" s="49">
        <v>23</v>
      </c>
      <c r="J257" s="85">
        <v>4623</v>
      </c>
      <c r="K257" s="6" t="s">
        <v>402</v>
      </c>
      <c r="L257" s="49">
        <v>0.6</v>
      </c>
      <c r="M257" s="49" t="s">
        <v>592</v>
      </c>
      <c r="O257" s="62" t="s">
        <v>731</v>
      </c>
      <c r="P257" s="62" t="s">
        <v>731</v>
      </c>
      <c r="Q257" s="62" t="s">
        <v>731</v>
      </c>
    </row>
    <row r="258" spans="1:17" s="49" customFormat="1" ht="12.75">
      <c r="A258" s="97"/>
      <c r="B258" s="6"/>
      <c r="C258" s="6"/>
      <c r="D258" s="6"/>
      <c r="E258" s="3"/>
      <c r="F258" s="6">
        <v>44674</v>
      </c>
      <c r="G258" s="6" t="s">
        <v>25</v>
      </c>
      <c r="H258" s="60">
        <v>536</v>
      </c>
      <c r="I258" s="49">
        <v>16</v>
      </c>
      <c r="J258" s="85">
        <v>4624</v>
      </c>
      <c r="K258" s="6" t="s">
        <v>402</v>
      </c>
      <c r="L258" s="49">
        <v>0.39</v>
      </c>
      <c r="M258" s="49" t="s">
        <v>593</v>
      </c>
      <c r="O258" s="62" t="s">
        <v>731</v>
      </c>
      <c r="P258" s="62" t="s">
        <v>731</v>
      </c>
      <c r="Q258" s="62" t="s">
        <v>731</v>
      </c>
    </row>
    <row r="259" spans="1:17" s="49" customFormat="1" ht="12.75">
      <c r="A259" s="97"/>
      <c r="B259" s="6"/>
      <c r="C259" s="6"/>
      <c r="D259" s="6"/>
      <c r="E259" s="3"/>
      <c r="F259" s="6">
        <v>44514</v>
      </c>
      <c r="G259" s="6" t="s">
        <v>67</v>
      </c>
      <c r="H259" s="60">
        <v>665</v>
      </c>
      <c r="I259" s="49">
        <v>19</v>
      </c>
      <c r="J259" s="85">
        <v>4623</v>
      </c>
      <c r="K259" s="6" t="s">
        <v>402</v>
      </c>
      <c r="L259" s="49">
        <v>0.59</v>
      </c>
      <c r="M259" s="49" t="s">
        <v>594</v>
      </c>
      <c r="O259" s="62" t="s">
        <v>731</v>
      </c>
      <c r="P259" s="62" t="s">
        <v>731</v>
      </c>
      <c r="Q259" s="62" t="s">
        <v>731</v>
      </c>
    </row>
    <row r="260" spans="1:17" s="49" customFormat="1" ht="12.75">
      <c r="A260" s="97"/>
      <c r="B260" s="6" t="s">
        <v>137</v>
      </c>
      <c r="C260" s="6" t="s">
        <v>587</v>
      </c>
      <c r="D260" s="14" t="s">
        <v>13</v>
      </c>
      <c r="E260" s="3">
        <v>8.9</v>
      </c>
      <c r="F260" s="6">
        <v>68759</v>
      </c>
      <c r="G260" s="6" t="s">
        <v>14</v>
      </c>
      <c r="H260" s="60" t="s">
        <v>574</v>
      </c>
      <c r="I260" s="49">
        <v>24</v>
      </c>
      <c r="J260" s="85">
        <v>7121</v>
      </c>
      <c r="K260" s="6" t="s">
        <v>402</v>
      </c>
      <c r="L260" s="49">
        <v>1</v>
      </c>
      <c r="M260" s="49" t="s">
        <v>449</v>
      </c>
      <c r="N260" s="49">
        <v>0.09</v>
      </c>
      <c r="O260" s="62" t="s">
        <v>731</v>
      </c>
      <c r="P260" s="62" t="s">
        <v>731</v>
      </c>
      <c r="Q260" s="62" t="s">
        <v>731</v>
      </c>
    </row>
    <row r="261" spans="1:17" s="49" customFormat="1" ht="12.75">
      <c r="A261" s="97"/>
      <c r="B261" s="6"/>
      <c r="C261" s="6" t="s">
        <v>641</v>
      </c>
      <c r="D261" s="6"/>
      <c r="E261" s="6"/>
      <c r="F261" s="6">
        <v>69197</v>
      </c>
      <c r="G261" s="6" t="s">
        <v>20</v>
      </c>
      <c r="H261" s="60">
        <v>379</v>
      </c>
      <c r="I261" s="49">
        <v>39</v>
      </c>
      <c r="J261" s="85">
        <v>7122</v>
      </c>
      <c r="K261" s="6" t="s">
        <v>402</v>
      </c>
      <c r="L261" s="49">
        <v>2.14</v>
      </c>
      <c r="M261" s="49" t="s">
        <v>607</v>
      </c>
      <c r="O261" s="62" t="s">
        <v>731</v>
      </c>
      <c r="P261" s="62" t="s">
        <v>731</v>
      </c>
      <c r="Q261" s="62" t="s">
        <v>731</v>
      </c>
    </row>
    <row r="262" spans="1:17" s="49" customFormat="1" ht="12.75">
      <c r="A262" s="97"/>
      <c r="B262" s="6"/>
      <c r="C262" s="13">
        <f>143/32319</f>
        <v>4.4246418515424364E-3</v>
      </c>
      <c r="D262" s="6"/>
      <c r="E262" s="6"/>
      <c r="F262" s="6">
        <v>69276</v>
      </c>
      <c r="G262" s="6" t="s">
        <v>22</v>
      </c>
      <c r="H262" s="60">
        <v>462</v>
      </c>
      <c r="I262" s="49">
        <v>35</v>
      </c>
      <c r="J262" s="85">
        <v>7122</v>
      </c>
      <c r="K262" s="6" t="s">
        <v>402</v>
      </c>
      <c r="L262" s="49">
        <v>1.93</v>
      </c>
      <c r="M262" s="49" t="s">
        <v>608</v>
      </c>
      <c r="O262" s="62" t="s">
        <v>731</v>
      </c>
      <c r="P262" s="62" t="s">
        <v>731</v>
      </c>
      <c r="Q262" s="62" t="s">
        <v>731</v>
      </c>
    </row>
    <row r="263" spans="1:17" s="49" customFormat="1" ht="12.75">
      <c r="A263" s="97"/>
      <c r="B263" s="6"/>
      <c r="C263" s="6"/>
      <c r="D263" s="6"/>
      <c r="E263" s="6"/>
      <c r="F263" s="6">
        <v>69975</v>
      </c>
      <c r="G263" s="6" t="s">
        <v>25</v>
      </c>
      <c r="H263" s="60">
        <v>545</v>
      </c>
      <c r="I263" s="49">
        <v>21</v>
      </c>
      <c r="J263" s="85">
        <v>7122</v>
      </c>
      <c r="K263" s="6" t="s">
        <v>402</v>
      </c>
      <c r="L263" s="49">
        <v>1.04</v>
      </c>
      <c r="M263" s="49" t="s">
        <v>609</v>
      </c>
      <c r="O263" s="62" t="s">
        <v>731</v>
      </c>
      <c r="P263" s="62" t="s">
        <v>731</v>
      </c>
      <c r="Q263" s="62" t="s">
        <v>731</v>
      </c>
    </row>
    <row r="264" spans="1:17" s="49" customFormat="1" ht="12.75">
      <c r="A264" s="97"/>
      <c r="B264" s="6"/>
      <c r="C264" s="6"/>
      <c r="D264" s="6"/>
      <c r="E264" s="6"/>
      <c r="F264" s="6">
        <v>70277</v>
      </c>
      <c r="G264" s="6" t="s">
        <v>67</v>
      </c>
      <c r="H264" s="60">
        <v>667</v>
      </c>
      <c r="I264" s="49">
        <v>24</v>
      </c>
      <c r="J264" s="85">
        <v>7122</v>
      </c>
      <c r="K264" s="6" t="s">
        <v>402</v>
      </c>
      <c r="L264" s="49">
        <v>1.03</v>
      </c>
      <c r="M264" s="49" t="s">
        <v>610</v>
      </c>
      <c r="O264" s="62" t="s">
        <v>731</v>
      </c>
      <c r="P264" s="62" t="s">
        <v>731</v>
      </c>
      <c r="Q264" s="62" t="s">
        <v>731</v>
      </c>
    </row>
    <row r="265" spans="1:17" s="49" customFormat="1" ht="12.75">
      <c r="A265" s="97"/>
      <c r="B265" s="6" t="s">
        <v>401</v>
      </c>
      <c r="C265" s="6" t="s">
        <v>588</v>
      </c>
      <c r="D265" s="6" t="s">
        <v>13</v>
      </c>
      <c r="E265" s="3">
        <v>8.9</v>
      </c>
      <c r="F265" s="6">
        <v>43685</v>
      </c>
      <c r="G265" s="6" t="s">
        <v>14</v>
      </c>
      <c r="H265" s="60" t="s">
        <v>584</v>
      </c>
      <c r="I265" s="49">
        <v>23</v>
      </c>
      <c r="J265" s="85">
        <v>4623</v>
      </c>
      <c r="K265" s="6" t="s">
        <v>402</v>
      </c>
      <c r="L265" s="49">
        <v>1</v>
      </c>
      <c r="M265" s="49" t="s">
        <v>37</v>
      </c>
      <c r="N265" s="49">
        <v>0.2</v>
      </c>
      <c r="O265" s="62" t="s">
        <v>731</v>
      </c>
      <c r="P265" s="62" t="s">
        <v>731</v>
      </c>
      <c r="Q265" s="62" t="s">
        <v>731</v>
      </c>
    </row>
    <row r="266" spans="1:17" s="49" customFormat="1" ht="12.75">
      <c r="A266" s="97"/>
      <c r="B266" s="6"/>
      <c r="C266" s="6" t="s">
        <v>642</v>
      </c>
      <c r="D266" s="6"/>
      <c r="E266" s="3"/>
      <c r="F266" s="6">
        <v>43951</v>
      </c>
      <c r="G266" s="6" t="s">
        <v>20</v>
      </c>
      <c r="H266" s="60">
        <v>363</v>
      </c>
      <c r="I266" s="49">
        <v>20</v>
      </c>
      <c r="J266" s="85">
        <v>4624</v>
      </c>
      <c r="K266" s="6" t="s">
        <v>402</v>
      </c>
      <c r="L266" s="49">
        <v>0.86</v>
      </c>
      <c r="M266" s="49" t="s">
        <v>603</v>
      </c>
      <c r="O266" s="62" t="s">
        <v>731</v>
      </c>
      <c r="P266" s="62" t="s">
        <v>731</v>
      </c>
      <c r="Q266" s="62" t="s">
        <v>731</v>
      </c>
    </row>
    <row r="267" spans="1:17" s="49" customFormat="1" ht="12.75">
      <c r="A267" s="97"/>
      <c r="B267" s="6"/>
      <c r="C267" s="13">
        <f>80/21068</f>
        <v>3.7972280235428137E-3</v>
      </c>
      <c r="D267" s="6"/>
      <c r="E267" s="3"/>
      <c r="F267" s="6">
        <v>44300</v>
      </c>
      <c r="G267" s="6" t="s">
        <v>22</v>
      </c>
      <c r="H267" s="60">
        <v>449</v>
      </c>
      <c r="I267" s="49">
        <v>13</v>
      </c>
      <c r="J267" s="85">
        <v>4623</v>
      </c>
      <c r="K267" s="6" t="s">
        <v>402</v>
      </c>
      <c r="L267" s="49">
        <v>0.51</v>
      </c>
      <c r="M267" s="49" t="s">
        <v>604</v>
      </c>
      <c r="O267" s="62" t="s">
        <v>731</v>
      </c>
      <c r="P267" s="62" t="s">
        <v>731</v>
      </c>
      <c r="Q267" s="62" t="s">
        <v>731</v>
      </c>
    </row>
    <row r="268" spans="1:17" s="49" customFormat="1" ht="12.75">
      <c r="A268" s="97"/>
      <c r="B268" s="6"/>
      <c r="C268" s="6"/>
      <c r="D268" s="6"/>
      <c r="E268" s="3"/>
      <c r="F268" s="6">
        <v>44674</v>
      </c>
      <c r="G268" s="6" t="s">
        <v>25</v>
      </c>
      <c r="H268" s="60">
        <v>536</v>
      </c>
      <c r="I268" s="49">
        <v>10</v>
      </c>
      <c r="J268" s="85">
        <v>4624</v>
      </c>
      <c r="K268" s="6" t="s">
        <v>402</v>
      </c>
      <c r="L268" s="49">
        <v>0.38</v>
      </c>
      <c r="M268" s="49" t="s">
        <v>605</v>
      </c>
      <c r="O268" s="62" t="s">
        <v>731</v>
      </c>
      <c r="P268" s="62" t="s">
        <v>731</v>
      </c>
      <c r="Q268" s="62" t="s">
        <v>731</v>
      </c>
    </row>
    <row r="269" spans="1:17" s="49" customFormat="1" ht="12.75">
      <c r="A269" s="97"/>
      <c r="B269" s="6"/>
      <c r="C269" s="6"/>
      <c r="D269" s="6"/>
      <c r="E269" s="3"/>
      <c r="F269" s="6">
        <v>44514</v>
      </c>
      <c r="G269" s="6" t="s">
        <v>67</v>
      </c>
      <c r="H269" s="60">
        <v>665</v>
      </c>
      <c r="I269" s="49">
        <v>14</v>
      </c>
      <c r="J269" s="85">
        <v>4623</v>
      </c>
      <c r="K269" s="6" t="s">
        <v>402</v>
      </c>
      <c r="L269" s="49">
        <v>0.78</v>
      </c>
      <c r="M269" s="49" t="s">
        <v>606</v>
      </c>
      <c r="O269" s="62" t="s">
        <v>731</v>
      </c>
      <c r="P269" s="62" t="s">
        <v>731</v>
      </c>
      <c r="Q269" s="62" t="s">
        <v>731</v>
      </c>
    </row>
    <row r="270" spans="1:17" s="49" customFormat="1" ht="12.75">
      <c r="A270" s="97"/>
      <c r="B270" s="6" t="s">
        <v>137</v>
      </c>
      <c r="C270" s="6" t="s">
        <v>588</v>
      </c>
      <c r="D270" s="14" t="s">
        <v>13</v>
      </c>
      <c r="E270" s="3">
        <v>8.9</v>
      </c>
      <c r="F270" s="6">
        <v>68759</v>
      </c>
      <c r="G270" s="6" t="s">
        <v>14</v>
      </c>
      <c r="H270" s="60" t="s">
        <v>574</v>
      </c>
      <c r="I270" s="49">
        <v>15</v>
      </c>
      <c r="J270" s="85">
        <v>7121</v>
      </c>
      <c r="K270" s="6" t="s">
        <v>402</v>
      </c>
      <c r="L270" s="49">
        <v>1</v>
      </c>
      <c r="M270" s="49" t="s">
        <v>37</v>
      </c>
      <c r="N270" s="49">
        <v>0.78</v>
      </c>
      <c r="O270" s="62" t="s">
        <v>731</v>
      </c>
      <c r="P270" s="62" t="s">
        <v>731</v>
      </c>
      <c r="Q270" s="62" t="s">
        <v>731</v>
      </c>
    </row>
    <row r="271" spans="1:17" s="49" customFormat="1" ht="12.75">
      <c r="A271" s="97"/>
      <c r="B271" s="6"/>
      <c r="C271" s="6" t="s">
        <v>643</v>
      </c>
      <c r="D271" s="6"/>
      <c r="E271" s="6"/>
      <c r="F271" s="6">
        <v>69197</v>
      </c>
      <c r="G271" s="6" t="s">
        <v>20</v>
      </c>
      <c r="H271" s="60">
        <v>379</v>
      </c>
      <c r="I271" s="49">
        <v>19</v>
      </c>
      <c r="J271" s="85">
        <v>7122</v>
      </c>
      <c r="K271" s="6" t="s">
        <v>402</v>
      </c>
      <c r="L271" s="49">
        <v>1.95</v>
      </c>
      <c r="M271" s="49" t="s">
        <v>611</v>
      </c>
      <c r="O271" s="62" t="s">
        <v>731</v>
      </c>
      <c r="P271" s="62" t="s">
        <v>731</v>
      </c>
      <c r="Q271" s="62" t="s">
        <v>731</v>
      </c>
    </row>
    <row r="272" spans="1:17" s="49" customFormat="1" ht="12.75">
      <c r="A272" s="97"/>
      <c r="B272" s="6"/>
      <c r="C272" s="13">
        <f>71/32319</f>
        <v>2.1968501500665245E-3</v>
      </c>
      <c r="D272" s="6"/>
      <c r="E272" s="6"/>
      <c r="F272" s="6">
        <v>69276</v>
      </c>
      <c r="G272" s="6" t="s">
        <v>22</v>
      </c>
      <c r="H272" s="60">
        <v>462</v>
      </c>
      <c r="I272" s="49">
        <v>14</v>
      </c>
      <c r="J272" s="85">
        <v>7122</v>
      </c>
      <c r="K272" s="6" t="s">
        <v>402</v>
      </c>
      <c r="L272" s="49">
        <v>1.8</v>
      </c>
      <c r="M272" s="49" t="s">
        <v>612</v>
      </c>
      <c r="O272" s="62" t="s">
        <v>731</v>
      </c>
      <c r="P272" s="62" t="s">
        <v>731</v>
      </c>
      <c r="Q272" s="62" t="s">
        <v>731</v>
      </c>
    </row>
    <row r="273" spans="1:17" s="49" customFormat="1" ht="12.75">
      <c r="A273" s="97"/>
      <c r="B273" s="6"/>
      <c r="C273" s="6"/>
      <c r="D273" s="6"/>
      <c r="E273" s="6"/>
      <c r="F273" s="6">
        <v>69975</v>
      </c>
      <c r="G273" s="6" t="s">
        <v>25</v>
      </c>
      <c r="H273" s="60">
        <v>545</v>
      </c>
      <c r="I273" s="49">
        <v>9</v>
      </c>
      <c r="J273" s="85">
        <v>7122</v>
      </c>
      <c r="K273" s="6" t="s">
        <v>402</v>
      </c>
      <c r="L273" s="49">
        <v>1.18</v>
      </c>
      <c r="M273" s="49" t="s">
        <v>613</v>
      </c>
      <c r="O273" s="62" t="s">
        <v>731</v>
      </c>
      <c r="P273" s="62" t="s">
        <v>731</v>
      </c>
      <c r="Q273" s="62" t="s">
        <v>731</v>
      </c>
    </row>
    <row r="274" spans="1:17" s="49" customFormat="1" ht="12.75">
      <c r="A274" s="97"/>
      <c r="B274" s="6"/>
      <c r="C274" s="6"/>
      <c r="D274" s="6"/>
      <c r="E274" s="6"/>
      <c r="F274" s="6">
        <v>70277</v>
      </c>
      <c r="G274" s="6" t="s">
        <v>67</v>
      </c>
      <c r="H274" s="60">
        <v>667</v>
      </c>
      <c r="I274" s="49">
        <v>14</v>
      </c>
      <c r="J274" s="85">
        <v>7122</v>
      </c>
      <c r="K274" s="6" t="s">
        <v>402</v>
      </c>
      <c r="L274" s="49">
        <v>1.52</v>
      </c>
      <c r="M274" s="49" t="s">
        <v>614</v>
      </c>
      <c r="O274" s="62" t="s">
        <v>731</v>
      </c>
      <c r="P274" s="62" t="s">
        <v>731</v>
      </c>
      <c r="Q274" s="62" t="s">
        <v>731</v>
      </c>
    </row>
    <row r="275" spans="1:17" s="49" customFormat="1" ht="12.75">
      <c r="A275" s="97"/>
      <c r="B275" s="6" t="s">
        <v>401</v>
      </c>
      <c r="C275" s="6" t="s">
        <v>589</v>
      </c>
      <c r="D275" s="6" t="s">
        <v>13</v>
      </c>
      <c r="E275" s="3">
        <v>8.9</v>
      </c>
      <c r="F275" s="6">
        <v>43685</v>
      </c>
      <c r="G275" s="6" t="s">
        <v>14</v>
      </c>
      <c r="H275" s="60" t="s">
        <v>584</v>
      </c>
      <c r="I275" s="49">
        <v>8</v>
      </c>
      <c r="J275" s="86">
        <v>4623</v>
      </c>
      <c r="K275" s="7" t="s">
        <v>402</v>
      </c>
      <c r="L275" s="49">
        <v>1</v>
      </c>
      <c r="M275" s="49" t="s">
        <v>116</v>
      </c>
      <c r="N275" s="49">
        <v>0.3</v>
      </c>
      <c r="O275" s="62" t="s">
        <v>731</v>
      </c>
      <c r="P275" s="62" t="s">
        <v>731</v>
      </c>
      <c r="Q275" s="62" t="s">
        <v>731</v>
      </c>
    </row>
    <row r="276" spans="1:17" s="49" customFormat="1" ht="12.75">
      <c r="A276" s="97"/>
      <c r="B276" s="6"/>
      <c r="C276" s="6" t="s">
        <v>644</v>
      </c>
      <c r="D276" s="6"/>
      <c r="E276" s="3"/>
      <c r="F276" s="6">
        <v>43951</v>
      </c>
      <c r="G276" s="6" t="s">
        <v>20</v>
      </c>
      <c r="H276" s="60">
        <v>363</v>
      </c>
      <c r="I276" s="49">
        <v>12</v>
      </c>
      <c r="J276" s="86">
        <v>4624</v>
      </c>
      <c r="K276" s="7" t="s">
        <v>402</v>
      </c>
      <c r="L276" s="49">
        <v>1.1499999999999999</v>
      </c>
      <c r="M276" s="49" t="s">
        <v>595</v>
      </c>
      <c r="O276" s="62" t="s">
        <v>731</v>
      </c>
      <c r="P276" s="62" t="s">
        <v>731</v>
      </c>
      <c r="Q276" s="62" t="s">
        <v>731</v>
      </c>
    </row>
    <row r="277" spans="1:17" s="49" customFormat="1" ht="12.75">
      <c r="A277" s="97"/>
      <c r="B277" s="6"/>
      <c r="C277" s="13">
        <f>41/21068</f>
        <v>1.946079362065692E-3</v>
      </c>
      <c r="D277" s="6"/>
      <c r="E277" s="3"/>
      <c r="F277" s="6">
        <v>44300</v>
      </c>
      <c r="G277" s="6" t="s">
        <v>22</v>
      </c>
      <c r="H277" s="60">
        <v>449</v>
      </c>
      <c r="I277" s="49">
        <v>10</v>
      </c>
      <c r="J277" s="86">
        <v>4623</v>
      </c>
      <c r="K277" s="7" t="s">
        <v>402</v>
      </c>
      <c r="L277" s="49">
        <v>0.8</v>
      </c>
      <c r="M277" s="49" t="s">
        <v>596</v>
      </c>
      <c r="O277" s="62" t="s">
        <v>731</v>
      </c>
      <c r="P277" s="62" t="s">
        <v>731</v>
      </c>
      <c r="Q277" s="62" t="s">
        <v>731</v>
      </c>
    </row>
    <row r="278" spans="1:17" s="49" customFormat="1" ht="12.75">
      <c r="A278" s="97"/>
      <c r="B278" s="6"/>
      <c r="C278" s="6"/>
      <c r="D278" s="6"/>
      <c r="E278" s="3"/>
      <c r="F278" s="6">
        <v>44674</v>
      </c>
      <c r="G278" s="6" t="s">
        <v>25</v>
      </c>
      <c r="H278" s="60">
        <v>536</v>
      </c>
      <c r="I278" s="49">
        <v>6</v>
      </c>
      <c r="J278" s="86">
        <v>4624</v>
      </c>
      <c r="K278" s="7" t="s">
        <v>402</v>
      </c>
      <c r="L278" s="49">
        <v>0.41</v>
      </c>
      <c r="M278" s="49" t="s">
        <v>597</v>
      </c>
      <c r="O278" s="62" t="s">
        <v>731</v>
      </c>
      <c r="P278" s="62" t="s">
        <v>731</v>
      </c>
      <c r="Q278" s="62" t="s">
        <v>731</v>
      </c>
    </row>
    <row r="279" spans="1:17" s="49" customFormat="1" ht="12.75">
      <c r="A279" s="97"/>
      <c r="B279" s="6"/>
      <c r="C279" s="6"/>
      <c r="D279" s="6"/>
      <c r="E279" s="3"/>
      <c r="F279" s="6">
        <v>44514</v>
      </c>
      <c r="G279" s="6" t="s">
        <v>67</v>
      </c>
      <c r="H279" s="60">
        <v>665</v>
      </c>
      <c r="I279" s="49">
        <v>5</v>
      </c>
      <c r="J279" s="86">
        <v>4623</v>
      </c>
      <c r="K279" s="7" t="s">
        <v>402</v>
      </c>
      <c r="L279" s="49">
        <v>0.34</v>
      </c>
      <c r="M279" s="49" t="s">
        <v>598</v>
      </c>
      <c r="O279" s="62" t="s">
        <v>731</v>
      </c>
      <c r="P279" s="62" t="s">
        <v>731</v>
      </c>
      <c r="Q279" s="62" t="s">
        <v>731</v>
      </c>
    </row>
    <row r="280" spans="1:17" s="49" customFormat="1" ht="12.75">
      <c r="A280" s="97"/>
      <c r="B280" s="6" t="s">
        <v>137</v>
      </c>
      <c r="C280" s="6" t="s">
        <v>589</v>
      </c>
      <c r="D280" s="14" t="s">
        <v>13</v>
      </c>
      <c r="E280" s="3">
        <v>8.9</v>
      </c>
      <c r="F280" s="6">
        <v>68759</v>
      </c>
      <c r="G280" s="6" t="s">
        <v>14</v>
      </c>
      <c r="H280" s="60" t="s">
        <v>574</v>
      </c>
      <c r="I280" s="49">
        <v>9</v>
      </c>
      <c r="J280" s="86">
        <v>7121</v>
      </c>
      <c r="K280" s="7" t="s">
        <v>402</v>
      </c>
      <c r="L280" s="49">
        <v>1</v>
      </c>
      <c r="M280" s="49" t="s">
        <v>615</v>
      </c>
      <c r="N280" s="49">
        <v>0.08</v>
      </c>
      <c r="O280" s="62" t="s">
        <v>731</v>
      </c>
      <c r="P280" s="62" t="s">
        <v>731</v>
      </c>
      <c r="Q280" s="62" t="s">
        <v>731</v>
      </c>
    </row>
    <row r="281" spans="1:17" s="49" customFormat="1" ht="12.75">
      <c r="A281" s="97"/>
      <c r="B281" s="6"/>
      <c r="C281" s="6" t="s">
        <v>645</v>
      </c>
      <c r="D281" s="6"/>
      <c r="E281" s="6"/>
      <c r="F281" s="6">
        <v>69197</v>
      </c>
      <c r="G281" s="6" t="s">
        <v>20</v>
      </c>
      <c r="H281" s="60">
        <v>379</v>
      </c>
      <c r="I281" s="49">
        <v>20</v>
      </c>
      <c r="J281" s="86">
        <v>7122</v>
      </c>
      <c r="K281" s="7" t="s">
        <v>402</v>
      </c>
      <c r="L281" s="49">
        <v>2.5299999999999998</v>
      </c>
      <c r="M281" s="49" t="s">
        <v>616</v>
      </c>
      <c r="O281" s="62" t="s">
        <v>731</v>
      </c>
      <c r="P281" s="62" t="s">
        <v>731</v>
      </c>
      <c r="Q281" s="62" t="s">
        <v>731</v>
      </c>
    </row>
    <row r="282" spans="1:17" s="49" customFormat="1" ht="12.75">
      <c r="A282" s="97"/>
      <c r="B282" s="6"/>
      <c r="C282" s="13">
        <f>72/32319</f>
        <v>2.2277917014759119E-3</v>
      </c>
      <c r="D282" s="6"/>
      <c r="E282" s="6"/>
      <c r="F282" s="6">
        <v>69276</v>
      </c>
      <c r="G282" s="6" t="s">
        <v>22</v>
      </c>
      <c r="H282" s="60">
        <v>462</v>
      </c>
      <c r="I282" s="49">
        <v>21</v>
      </c>
      <c r="J282" s="86">
        <v>7122</v>
      </c>
      <c r="K282" s="7" t="s">
        <v>402</v>
      </c>
      <c r="L282" s="49">
        <v>2.19</v>
      </c>
      <c r="M282" s="49" t="s">
        <v>617</v>
      </c>
      <c r="O282" s="62" t="s">
        <v>731</v>
      </c>
      <c r="P282" s="62" t="s">
        <v>731</v>
      </c>
      <c r="Q282" s="62" t="s">
        <v>731</v>
      </c>
    </row>
    <row r="283" spans="1:17" s="49" customFormat="1" ht="12.75">
      <c r="A283" s="97"/>
      <c r="B283" s="6"/>
      <c r="C283" s="6"/>
      <c r="D283" s="6"/>
      <c r="E283" s="6"/>
      <c r="F283" s="6">
        <v>69975</v>
      </c>
      <c r="G283" s="6" t="s">
        <v>25</v>
      </c>
      <c r="H283" s="60">
        <v>545</v>
      </c>
      <c r="I283" s="49">
        <v>12</v>
      </c>
      <c r="J283" s="86">
        <v>7122</v>
      </c>
      <c r="K283" s="7" t="s">
        <v>402</v>
      </c>
      <c r="L283" s="49">
        <v>1.06</v>
      </c>
      <c r="M283" s="49" t="s">
        <v>618</v>
      </c>
      <c r="O283" s="62" t="s">
        <v>731</v>
      </c>
      <c r="P283" s="62" t="s">
        <v>731</v>
      </c>
      <c r="Q283" s="62" t="s">
        <v>731</v>
      </c>
    </row>
    <row r="284" spans="1:17" s="49" customFormat="1" ht="12.75">
      <c r="A284" s="97"/>
      <c r="B284" s="6"/>
      <c r="C284" s="6"/>
      <c r="D284" s="6"/>
      <c r="E284" s="6"/>
      <c r="F284" s="6">
        <v>70277</v>
      </c>
      <c r="G284" s="6" t="s">
        <v>67</v>
      </c>
      <c r="H284" s="60">
        <v>667</v>
      </c>
      <c r="I284" s="49">
        <v>10</v>
      </c>
      <c r="J284" s="86">
        <v>7122</v>
      </c>
      <c r="K284" s="7" t="s">
        <v>402</v>
      </c>
      <c r="L284" s="49">
        <v>0.8</v>
      </c>
      <c r="M284" s="49" t="s">
        <v>619</v>
      </c>
      <c r="O284" s="62" t="s">
        <v>731</v>
      </c>
      <c r="P284" s="62" t="s">
        <v>731</v>
      </c>
      <c r="Q284" s="62" t="s">
        <v>731</v>
      </c>
    </row>
    <row r="285" spans="1:17" s="49" customFormat="1" ht="12.75">
      <c r="A285" s="97"/>
      <c r="B285" s="6" t="s">
        <v>401</v>
      </c>
      <c r="C285" s="6" t="s">
        <v>590</v>
      </c>
      <c r="D285" s="6" t="s">
        <v>13</v>
      </c>
      <c r="E285" s="3">
        <v>8.9</v>
      </c>
      <c r="F285" s="6">
        <v>43685</v>
      </c>
      <c r="G285" s="6" t="s">
        <v>14</v>
      </c>
      <c r="H285" s="60" t="s">
        <v>584</v>
      </c>
      <c r="I285" s="49">
        <v>28</v>
      </c>
      <c r="J285" s="86">
        <v>4623</v>
      </c>
      <c r="K285" s="7" t="s">
        <v>402</v>
      </c>
      <c r="L285" s="49">
        <v>1</v>
      </c>
      <c r="M285" s="49" t="s">
        <v>37</v>
      </c>
      <c r="N285" s="49">
        <v>0.32</v>
      </c>
      <c r="O285" s="62" t="s">
        <v>731</v>
      </c>
      <c r="P285" s="62" t="s">
        <v>731</v>
      </c>
      <c r="Q285" s="62" t="s">
        <v>731</v>
      </c>
    </row>
    <row r="286" spans="1:17" s="49" customFormat="1" ht="12.75">
      <c r="A286" s="97"/>
      <c r="B286" s="6"/>
      <c r="C286" s="6" t="s">
        <v>646</v>
      </c>
      <c r="D286" s="6"/>
      <c r="E286" s="3"/>
      <c r="F286" s="6">
        <v>43951</v>
      </c>
      <c r="G286" s="6" t="s">
        <v>20</v>
      </c>
      <c r="H286" s="60">
        <v>363</v>
      </c>
      <c r="I286" s="49">
        <v>37</v>
      </c>
      <c r="J286" s="86">
        <v>4624</v>
      </c>
      <c r="K286" s="7" t="s">
        <v>402</v>
      </c>
      <c r="L286" s="49">
        <v>1.2</v>
      </c>
      <c r="M286" s="49" t="s">
        <v>599</v>
      </c>
      <c r="O286" s="62" t="s">
        <v>731</v>
      </c>
      <c r="P286" s="62" t="s">
        <v>731</v>
      </c>
      <c r="Q286" s="62" t="s">
        <v>731</v>
      </c>
    </row>
    <row r="287" spans="1:17" s="49" customFormat="1" ht="12.75">
      <c r="A287" s="97"/>
      <c r="B287" s="6"/>
      <c r="C287" s="13">
        <f>172/21068</f>
        <v>8.1640402506170488E-3</v>
      </c>
      <c r="D287" s="6"/>
      <c r="E287" s="3"/>
      <c r="F287" s="6">
        <v>44300</v>
      </c>
      <c r="G287" s="6" t="s">
        <v>22</v>
      </c>
      <c r="H287" s="60">
        <v>449</v>
      </c>
      <c r="I287" s="49">
        <v>40</v>
      </c>
      <c r="J287" s="86">
        <v>4623</v>
      </c>
      <c r="K287" s="7" t="s">
        <v>402</v>
      </c>
      <c r="L287" s="49">
        <v>1.1100000000000001</v>
      </c>
      <c r="M287" s="49" t="s">
        <v>600</v>
      </c>
      <c r="O287" s="62" t="s">
        <v>731</v>
      </c>
      <c r="P287" s="62" t="s">
        <v>731</v>
      </c>
      <c r="Q287" s="62" t="s">
        <v>731</v>
      </c>
    </row>
    <row r="288" spans="1:17" s="49" customFormat="1" ht="12.75">
      <c r="A288" s="97"/>
      <c r="B288" s="6"/>
      <c r="C288" s="6"/>
      <c r="D288" s="6"/>
      <c r="E288" s="3"/>
      <c r="F288" s="6">
        <v>44674</v>
      </c>
      <c r="G288" s="6" t="s">
        <v>25</v>
      </c>
      <c r="H288" s="60">
        <v>536</v>
      </c>
      <c r="I288" s="49">
        <v>32</v>
      </c>
      <c r="J288" s="86">
        <v>4624</v>
      </c>
      <c r="K288" s="7" t="s">
        <v>402</v>
      </c>
      <c r="L288" s="49">
        <v>0.74</v>
      </c>
      <c r="M288" s="49" t="s">
        <v>601</v>
      </c>
      <c r="O288" s="62" t="s">
        <v>731</v>
      </c>
      <c r="P288" s="62" t="s">
        <v>731</v>
      </c>
      <c r="Q288" s="62" t="s">
        <v>731</v>
      </c>
    </row>
    <row r="289" spans="1:17" s="49" customFormat="1" ht="12.75">
      <c r="A289" s="97"/>
      <c r="B289" s="6"/>
      <c r="C289" s="6"/>
      <c r="D289" s="6"/>
      <c r="E289" s="3"/>
      <c r="F289" s="6">
        <v>44514</v>
      </c>
      <c r="G289" s="6" t="s">
        <v>67</v>
      </c>
      <c r="H289" s="60">
        <v>665</v>
      </c>
      <c r="I289" s="49">
        <v>35</v>
      </c>
      <c r="J289" s="86">
        <v>4623</v>
      </c>
      <c r="K289" s="7" t="s">
        <v>402</v>
      </c>
      <c r="L289" s="49">
        <v>0.71</v>
      </c>
      <c r="M289" s="49" t="s">
        <v>602</v>
      </c>
      <c r="O289" s="62" t="s">
        <v>731</v>
      </c>
      <c r="P289" s="62" t="s">
        <v>731</v>
      </c>
      <c r="Q289" s="62" t="s">
        <v>731</v>
      </c>
    </row>
    <row r="290" spans="1:17" s="49" customFormat="1" ht="12.75">
      <c r="A290" s="97"/>
      <c r="B290" s="6" t="s">
        <v>137</v>
      </c>
      <c r="C290" s="6" t="s">
        <v>590</v>
      </c>
      <c r="D290" s="14" t="s">
        <v>13</v>
      </c>
      <c r="E290" s="3">
        <v>8.9</v>
      </c>
      <c r="F290" s="6">
        <v>68759</v>
      </c>
      <c r="G290" s="6" t="s">
        <v>14</v>
      </c>
      <c r="H290" s="60" t="s">
        <v>574</v>
      </c>
      <c r="I290" s="49">
        <v>38</v>
      </c>
      <c r="J290" s="86">
        <v>7121</v>
      </c>
      <c r="K290" s="7" t="s">
        <v>402</v>
      </c>
      <c r="L290" s="49">
        <v>1</v>
      </c>
      <c r="M290" s="49" t="s">
        <v>37</v>
      </c>
      <c r="N290" s="49">
        <v>7.0000000000000007E-2</v>
      </c>
      <c r="O290" s="62" t="s">
        <v>731</v>
      </c>
      <c r="P290" s="62" t="s">
        <v>731</v>
      </c>
      <c r="Q290" s="62" t="s">
        <v>731</v>
      </c>
    </row>
    <row r="291" spans="1:17" s="49" customFormat="1" ht="12.75">
      <c r="A291" s="97"/>
      <c r="B291" s="6"/>
      <c r="C291" s="6" t="s">
        <v>641</v>
      </c>
      <c r="D291" s="6"/>
      <c r="E291" s="6"/>
      <c r="F291" s="6">
        <v>69197</v>
      </c>
      <c r="G291" s="6" t="s">
        <v>20</v>
      </c>
      <c r="H291" s="60">
        <v>379</v>
      </c>
      <c r="I291" s="49">
        <v>38</v>
      </c>
      <c r="J291" s="86">
        <v>7122</v>
      </c>
      <c r="K291" s="7" t="s">
        <v>402</v>
      </c>
      <c r="L291" s="49">
        <v>0.97</v>
      </c>
      <c r="M291" s="49" t="s">
        <v>620</v>
      </c>
      <c r="O291" s="62" t="s">
        <v>731</v>
      </c>
      <c r="P291" s="62" t="s">
        <v>731</v>
      </c>
      <c r="Q291" s="62" t="s">
        <v>731</v>
      </c>
    </row>
    <row r="292" spans="1:17" s="49" customFormat="1" ht="12.75">
      <c r="A292" s="97"/>
      <c r="B292" s="6"/>
      <c r="C292" s="13">
        <f>143/32319</f>
        <v>4.4246418515424364E-3</v>
      </c>
      <c r="D292" s="6"/>
      <c r="E292" s="6"/>
      <c r="F292" s="6">
        <v>69276</v>
      </c>
      <c r="G292" s="6" t="s">
        <v>22</v>
      </c>
      <c r="H292" s="60">
        <v>462</v>
      </c>
      <c r="I292" s="49">
        <v>28</v>
      </c>
      <c r="J292" s="86">
        <v>7122</v>
      </c>
      <c r="K292" s="7" t="s">
        <v>402</v>
      </c>
      <c r="L292" s="49">
        <v>0.73</v>
      </c>
      <c r="M292" s="49" t="s">
        <v>621</v>
      </c>
      <c r="O292" s="62" t="s">
        <v>731</v>
      </c>
      <c r="P292" s="62" t="s">
        <v>731</v>
      </c>
      <c r="Q292" s="62" t="s">
        <v>731</v>
      </c>
    </row>
    <row r="293" spans="1:17" s="49" customFormat="1" ht="12.75">
      <c r="A293" s="97"/>
      <c r="B293" s="6"/>
      <c r="C293" s="6"/>
      <c r="D293" s="6"/>
      <c r="E293" s="6"/>
      <c r="F293" s="6">
        <v>69975</v>
      </c>
      <c r="G293" s="6" t="s">
        <v>25</v>
      </c>
      <c r="H293" s="60">
        <v>545</v>
      </c>
      <c r="I293" s="49">
        <v>16</v>
      </c>
      <c r="J293" s="86">
        <v>7122</v>
      </c>
      <c r="K293" s="7" t="s">
        <v>402</v>
      </c>
      <c r="L293" s="49">
        <v>0.41</v>
      </c>
      <c r="M293" s="49" t="s">
        <v>622</v>
      </c>
      <c r="O293" s="62" t="s">
        <v>731</v>
      </c>
      <c r="P293" s="62" t="s">
        <v>731</v>
      </c>
      <c r="Q293" s="62" t="s">
        <v>731</v>
      </c>
    </row>
    <row r="294" spans="1:17" s="49" customFormat="1" ht="12.75">
      <c r="A294" s="97"/>
      <c r="B294" s="6"/>
      <c r="C294" s="6"/>
      <c r="D294" s="6"/>
      <c r="E294" s="6"/>
      <c r="F294" s="6">
        <v>70277</v>
      </c>
      <c r="G294" s="6" t="s">
        <v>67</v>
      </c>
      <c r="H294" s="60">
        <v>667</v>
      </c>
      <c r="I294" s="49">
        <v>23</v>
      </c>
      <c r="J294" s="86">
        <v>7122</v>
      </c>
      <c r="K294" s="7" t="s">
        <v>402</v>
      </c>
      <c r="L294" s="49">
        <v>0.8</v>
      </c>
      <c r="M294" s="49" t="s">
        <v>623</v>
      </c>
      <c r="O294" s="62" t="s">
        <v>731</v>
      </c>
      <c r="P294" s="62" t="s">
        <v>731</v>
      </c>
      <c r="Q294" s="62" t="s">
        <v>731</v>
      </c>
    </row>
    <row r="295" spans="1:17" s="18" customFormat="1" ht="12" customHeight="1">
      <c r="A295" s="96" t="s">
        <v>751</v>
      </c>
      <c r="B295" s="22" t="s">
        <v>329</v>
      </c>
      <c r="C295" s="22" t="s">
        <v>624</v>
      </c>
      <c r="D295" s="22" t="s">
        <v>33</v>
      </c>
      <c r="E295" s="23">
        <v>12.9</v>
      </c>
      <c r="F295" s="22">
        <v>112018</v>
      </c>
      <c r="G295" s="22" t="s">
        <v>14</v>
      </c>
      <c r="H295" s="41" t="s">
        <v>647</v>
      </c>
      <c r="I295" s="44">
        <v>72</v>
      </c>
      <c r="J295" s="22">
        <v>8307</v>
      </c>
      <c r="K295" s="22" t="s">
        <v>16</v>
      </c>
      <c r="L295" s="44">
        <v>1</v>
      </c>
      <c r="M295" s="44" t="s">
        <v>21</v>
      </c>
      <c r="N295" s="22">
        <v>0.6</v>
      </c>
      <c r="O295" s="57" t="s">
        <v>731</v>
      </c>
      <c r="P295" s="57" t="s">
        <v>731</v>
      </c>
      <c r="Q295" s="57" t="s">
        <v>731</v>
      </c>
    </row>
    <row r="296" spans="1:17" s="18" customFormat="1" ht="12.75">
      <c r="A296" s="96"/>
      <c r="B296" s="22"/>
      <c r="C296" s="22" t="s">
        <v>648</v>
      </c>
      <c r="D296" s="22"/>
      <c r="E296" s="23"/>
      <c r="F296" s="22">
        <v>106354</v>
      </c>
      <c r="G296" s="22" t="s">
        <v>20</v>
      </c>
      <c r="H296" s="41">
        <v>344</v>
      </c>
      <c r="I296" s="44">
        <v>72</v>
      </c>
      <c r="J296" s="22">
        <v>8304</v>
      </c>
      <c r="K296" s="22" t="s">
        <v>16</v>
      </c>
      <c r="L296" s="44">
        <v>1.18</v>
      </c>
      <c r="M296" s="44" t="s">
        <v>625</v>
      </c>
      <c r="N296" s="22"/>
      <c r="O296" s="57" t="s">
        <v>731</v>
      </c>
      <c r="P296" s="57" t="s">
        <v>731</v>
      </c>
      <c r="Q296" s="57" t="s">
        <v>731</v>
      </c>
    </row>
    <row r="297" spans="1:17" s="18" customFormat="1" ht="12.75">
      <c r="A297" s="96"/>
      <c r="B297" s="22"/>
      <c r="C297" s="25">
        <f>322/41526</f>
        <v>7.7541781052834369E-3</v>
      </c>
      <c r="D297" s="22"/>
      <c r="E297" s="23"/>
      <c r="F297" s="22">
        <v>106435</v>
      </c>
      <c r="G297" s="22" t="s">
        <v>22</v>
      </c>
      <c r="H297" s="41">
        <v>439</v>
      </c>
      <c r="I297" s="44">
        <v>56</v>
      </c>
      <c r="J297" s="22">
        <v>8305</v>
      </c>
      <c r="K297" s="22" t="s">
        <v>16</v>
      </c>
      <c r="L297" s="44">
        <v>0.91</v>
      </c>
      <c r="M297" s="44" t="s">
        <v>626</v>
      </c>
      <c r="N297" s="22"/>
      <c r="O297" s="57" t="s">
        <v>731</v>
      </c>
      <c r="P297" s="57" t="s">
        <v>731</v>
      </c>
      <c r="Q297" s="57" t="s">
        <v>731</v>
      </c>
    </row>
    <row r="298" spans="1:17" s="18" customFormat="1" ht="12.75">
      <c r="A298" s="96"/>
      <c r="B298" s="22"/>
      <c r="C298" s="22"/>
      <c r="D298" s="22"/>
      <c r="E298" s="23"/>
      <c r="F298" s="22">
        <v>104697</v>
      </c>
      <c r="G298" s="22" t="s">
        <v>25</v>
      </c>
      <c r="H298" s="41">
        <v>603</v>
      </c>
      <c r="I298" s="44">
        <v>58</v>
      </c>
      <c r="J298" s="22">
        <v>8307</v>
      </c>
      <c r="K298" s="22" t="s">
        <v>16</v>
      </c>
      <c r="L298" s="44">
        <v>1.08</v>
      </c>
      <c r="M298" s="44" t="s">
        <v>627</v>
      </c>
      <c r="N298" s="22"/>
      <c r="O298" s="57" t="s">
        <v>731</v>
      </c>
      <c r="P298" s="57" t="s">
        <v>731</v>
      </c>
      <c r="Q298" s="57" t="s">
        <v>731</v>
      </c>
    </row>
    <row r="299" spans="1:17" s="18" customFormat="1" ht="12.75">
      <c r="A299" s="96"/>
      <c r="B299" s="22"/>
      <c r="C299" s="22"/>
      <c r="D299" s="22"/>
      <c r="E299" s="23"/>
      <c r="F299" s="22">
        <v>104186</v>
      </c>
      <c r="G299" s="22" t="s">
        <v>67</v>
      </c>
      <c r="H299" s="41">
        <v>753</v>
      </c>
      <c r="I299" s="44">
        <v>64</v>
      </c>
      <c r="J299" s="22">
        <v>8303</v>
      </c>
      <c r="K299" s="22" t="s">
        <v>16</v>
      </c>
      <c r="L299" s="44">
        <v>0.93</v>
      </c>
      <c r="M299" s="44" t="s">
        <v>628</v>
      </c>
      <c r="N299" s="22"/>
      <c r="O299" s="57" t="s">
        <v>731</v>
      </c>
      <c r="P299" s="57" t="s">
        <v>731</v>
      </c>
      <c r="Q299" s="57" t="s">
        <v>731</v>
      </c>
    </row>
    <row r="300" spans="1:17" s="18" customFormat="1" ht="12.75">
      <c r="A300" s="96"/>
      <c r="B300" s="22" t="s">
        <v>634</v>
      </c>
      <c r="C300" s="22" t="s">
        <v>356</v>
      </c>
      <c r="D300" s="22" t="s">
        <v>635</v>
      </c>
      <c r="E300" s="23">
        <v>12.9</v>
      </c>
      <c r="F300" s="22">
        <v>112018</v>
      </c>
      <c r="G300" s="22" t="s">
        <v>14</v>
      </c>
      <c r="H300" s="36" t="s">
        <v>647</v>
      </c>
      <c r="I300" s="37">
        <v>314</v>
      </c>
      <c r="J300" s="22">
        <v>8307</v>
      </c>
      <c r="K300" s="38" t="s">
        <v>16</v>
      </c>
      <c r="L300" s="37">
        <v>1</v>
      </c>
      <c r="M300" s="37" t="s">
        <v>21</v>
      </c>
      <c r="N300" s="22">
        <v>0.02</v>
      </c>
      <c r="O300" s="54">
        <v>219.43899999999999</v>
      </c>
      <c r="P300" s="57" t="s">
        <v>731</v>
      </c>
      <c r="Q300" s="55">
        <v>76334.75</v>
      </c>
    </row>
    <row r="301" spans="1:17" s="18" customFormat="1" ht="12.75">
      <c r="A301" s="96"/>
      <c r="B301" s="22"/>
      <c r="C301" s="22" t="s">
        <v>629</v>
      </c>
      <c r="D301" s="22"/>
      <c r="E301" s="23"/>
      <c r="F301" s="22">
        <v>106354</v>
      </c>
      <c r="G301" s="22" t="s">
        <v>20</v>
      </c>
      <c r="H301" s="36">
        <v>344</v>
      </c>
      <c r="I301" s="37">
        <v>257</v>
      </c>
      <c r="J301" s="22">
        <v>8304</v>
      </c>
      <c r="K301" s="38" t="s">
        <v>16</v>
      </c>
      <c r="L301" s="37">
        <v>0.94</v>
      </c>
      <c r="M301" s="37" t="s">
        <v>630</v>
      </c>
      <c r="N301" s="22"/>
      <c r="O301" s="54">
        <v>262.85700000000003</v>
      </c>
      <c r="P301" s="57" t="s">
        <v>731</v>
      </c>
      <c r="Q301" s="55">
        <v>97274.91</v>
      </c>
    </row>
    <row r="302" spans="1:17" s="18" customFormat="1" ht="12.75">
      <c r="A302" s="96"/>
      <c r="B302" s="22"/>
      <c r="C302" s="27">
        <f>1321/41526</f>
        <v>3.1811395270432981E-2</v>
      </c>
      <c r="D302" s="22"/>
      <c r="E302" s="23"/>
      <c r="F302" s="22">
        <v>106435</v>
      </c>
      <c r="G302" s="22" t="s">
        <v>22</v>
      </c>
      <c r="H302" s="36">
        <v>439</v>
      </c>
      <c r="I302" s="37">
        <v>252</v>
      </c>
      <c r="J302" s="22">
        <v>8305</v>
      </c>
      <c r="K302" s="38" t="s">
        <v>16</v>
      </c>
      <c r="L302" s="37">
        <v>0.79</v>
      </c>
      <c r="M302" s="37" t="s">
        <v>631</v>
      </c>
      <c r="N302" s="22"/>
      <c r="O302" s="54">
        <v>169.52099999999999</v>
      </c>
      <c r="P302" s="57" t="s">
        <v>731</v>
      </c>
      <c r="Q302" s="55">
        <v>74645.570000000007</v>
      </c>
    </row>
    <row r="303" spans="1:17" s="18" customFormat="1" ht="12.75">
      <c r="A303" s="96"/>
      <c r="B303" s="22"/>
      <c r="C303" s="22"/>
      <c r="D303" s="22"/>
      <c r="E303" s="23"/>
      <c r="F303" s="22">
        <v>104697</v>
      </c>
      <c r="G303" s="22" t="s">
        <v>25</v>
      </c>
      <c r="H303" s="36">
        <v>603</v>
      </c>
      <c r="I303" s="37">
        <v>247</v>
      </c>
      <c r="J303" s="22">
        <v>8307</v>
      </c>
      <c r="K303" s="38" t="s">
        <v>16</v>
      </c>
      <c r="L303" s="37">
        <v>0.78</v>
      </c>
      <c r="M303" s="37" t="s">
        <v>632</v>
      </c>
      <c r="N303" s="22"/>
      <c r="O303" s="54">
        <v>142.48699999999999</v>
      </c>
      <c r="P303" s="57" t="s">
        <v>731</v>
      </c>
      <c r="Q303" s="55">
        <v>63545.99</v>
      </c>
    </row>
    <row r="304" spans="1:17" s="18" customFormat="1" ht="12.75">
      <c r="A304" s="96"/>
      <c r="B304" s="22"/>
      <c r="C304" s="22"/>
      <c r="D304" s="22"/>
      <c r="E304" s="23"/>
      <c r="F304" s="22">
        <v>104186</v>
      </c>
      <c r="G304" s="22" t="s">
        <v>67</v>
      </c>
      <c r="H304" s="36">
        <v>753</v>
      </c>
      <c r="I304" s="37">
        <v>251</v>
      </c>
      <c r="J304" s="22">
        <v>8303</v>
      </c>
      <c r="K304" s="38" t="s">
        <v>16</v>
      </c>
      <c r="L304" s="37">
        <v>0.71</v>
      </c>
      <c r="M304" s="37" t="s">
        <v>633</v>
      </c>
      <c r="N304" s="22"/>
      <c r="O304" s="54">
        <v>105.893</v>
      </c>
      <c r="P304" s="57" t="s">
        <v>731</v>
      </c>
      <c r="Q304" s="55">
        <v>51882.239999999998</v>
      </c>
    </row>
    <row r="305" spans="1:17" s="18" customFormat="1" ht="12.75">
      <c r="A305" s="96"/>
      <c r="B305" s="18" t="s">
        <v>634</v>
      </c>
      <c r="C305" s="18" t="s">
        <v>585</v>
      </c>
      <c r="D305" s="22" t="s">
        <v>635</v>
      </c>
      <c r="E305" s="23">
        <v>12.9</v>
      </c>
      <c r="F305" s="22">
        <v>112018</v>
      </c>
      <c r="G305" s="22" t="s">
        <v>14</v>
      </c>
      <c r="H305" s="36" t="s">
        <v>647</v>
      </c>
      <c r="I305" s="18">
        <v>113</v>
      </c>
      <c r="J305" s="22">
        <v>8307</v>
      </c>
      <c r="K305" s="22" t="s">
        <v>16</v>
      </c>
      <c r="L305" s="18">
        <v>1</v>
      </c>
      <c r="M305" s="18" t="s">
        <v>37</v>
      </c>
      <c r="N305" s="18">
        <v>0.35</v>
      </c>
      <c r="O305" s="57" t="s">
        <v>731</v>
      </c>
      <c r="P305" s="57" t="s">
        <v>731</v>
      </c>
      <c r="Q305" s="57" t="s">
        <v>731</v>
      </c>
    </row>
    <row r="306" spans="1:17" s="18" customFormat="1" ht="12.75">
      <c r="A306" s="96"/>
      <c r="C306" s="22" t="s">
        <v>680</v>
      </c>
      <c r="D306" s="22"/>
      <c r="E306" s="23"/>
      <c r="F306" s="22">
        <v>106354</v>
      </c>
      <c r="G306" s="22" t="s">
        <v>20</v>
      </c>
      <c r="H306" s="36">
        <v>344</v>
      </c>
      <c r="I306" s="18">
        <v>80</v>
      </c>
      <c r="J306" s="22">
        <v>8304</v>
      </c>
      <c r="K306" s="22" t="s">
        <v>16</v>
      </c>
      <c r="L306" s="18">
        <v>0.98</v>
      </c>
      <c r="M306" s="18" t="s">
        <v>651</v>
      </c>
      <c r="O306" s="57" t="s">
        <v>731</v>
      </c>
      <c r="P306" s="57" t="s">
        <v>731</v>
      </c>
      <c r="Q306" s="57" t="s">
        <v>731</v>
      </c>
    </row>
    <row r="307" spans="1:17" s="18" customFormat="1" ht="12.75">
      <c r="A307" s="96"/>
      <c r="C307" s="27">
        <f>425/41526</f>
        <v>1.0234551847035592E-2</v>
      </c>
      <c r="D307" s="22"/>
      <c r="E307" s="23"/>
      <c r="F307" s="22">
        <v>106435</v>
      </c>
      <c r="G307" s="22" t="s">
        <v>22</v>
      </c>
      <c r="H307" s="36">
        <v>439</v>
      </c>
      <c r="I307" s="18">
        <v>77</v>
      </c>
      <c r="J307" s="22">
        <v>8305</v>
      </c>
      <c r="K307" s="22" t="s">
        <v>16</v>
      </c>
      <c r="L307" s="18">
        <v>0.79</v>
      </c>
      <c r="M307" s="18" t="s">
        <v>652</v>
      </c>
      <c r="O307" s="57" t="s">
        <v>731</v>
      </c>
      <c r="P307" s="57" t="s">
        <v>731</v>
      </c>
      <c r="Q307" s="57" t="s">
        <v>731</v>
      </c>
    </row>
    <row r="308" spans="1:17" s="18" customFormat="1" ht="12.75">
      <c r="A308" s="96"/>
      <c r="D308" s="22"/>
      <c r="E308" s="23"/>
      <c r="F308" s="22">
        <v>104697</v>
      </c>
      <c r="G308" s="22" t="s">
        <v>25</v>
      </c>
      <c r="H308" s="36">
        <v>603</v>
      </c>
      <c r="I308" s="18">
        <v>83</v>
      </c>
      <c r="J308" s="22">
        <v>8307</v>
      </c>
      <c r="K308" s="22" t="s">
        <v>16</v>
      </c>
      <c r="L308" s="18">
        <v>0.87</v>
      </c>
      <c r="M308" s="18" t="s">
        <v>653</v>
      </c>
      <c r="O308" s="57" t="s">
        <v>731</v>
      </c>
      <c r="P308" s="57" t="s">
        <v>731</v>
      </c>
      <c r="Q308" s="57" t="s">
        <v>731</v>
      </c>
    </row>
    <row r="309" spans="1:17" s="18" customFormat="1" ht="12.75">
      <c r="A309" s="96"/>
      <c r="D309" s="22"/>
      <c r="E309" s="23"/>
      <c r="F309" s="22">
        <v>104186</v>
      </c>
      <c r="G309" s="22" t="s">
        <v>67</v>
      </c>
      <c r="H309" s="36">
        <v>753</v>
      </c>
      <c r="I309" s="18">
        <v>72</v>
      </c>
      <c r="J309" s="22">
        <v>8303</v>
      </c>
      <c r="K309" s="22" t="s">
        <v>16</v>
      </c>
      <c r="L309" s="18">
        <v>0.7</v>
      </c>
      <c r="M309" s="18" t="s">
        <v>654</v>
      </c>
      <c r="O309" s="57" t="s">
        <v>731</v>
      </c>
      <c r="P309" s="57" t="s">
        <v>731</v>
      </c>
      <c r="Q309" s="57" t="s">
        <v>731</v>
      </c>
    </row>
    <row r="310" spans="1:17" s="18" customFormat="1" ht="12.75">
      <c r="A310" s="96"/>
      <c r="B310" s="18" t="s">
        <v>634</v>
      </c>
      <c r="C310" s="18" t="s">
        <v>649</v>
      </c>
      <c r="D310" s="22" t="s">
        <v>635</v>
      </c>
      <c r="E310" s="23">
        <v>12.9</v>
      </c>
      <c r="F310" s="22">
        <v>112018</v>
      </c>
      <c r="G310" s="22" t="s">
        <v>14</v>
      </c>
      <c r="H310" s="36" t="s">
        <v>647</v>
      </c>
      <c r="I310" s="18">
        <v>55</v>
      </c>
      <c r="J310" s="22">
        <v>8307</v>
      </c>
      <c r="K310" s="22" t="s">
        <v>16</v>
      </c>
      <c r="L310" s="18">
        <v>1</v>
      </c>
      <c r="M310" s="18" t="s">
        <v>37</v>
      </c>
      <c r="N310" s="18">
        <v>0.09</v>
      </c>
      <c r="O310" s="57" t="s">
        <v>731</v>
      </c>
      <c r="P310" s="57" t="s">
        <v>731</v>
      </c>
      <c r="Q310" s="57" t="s">
        <v>731</v>
      </c>
    </row>
    <row r="311" spans="1:17" s="18" customFormat="1" ht="12.75">
      <c r="A311" s="96"/>
      <c r="C311" s="22" t="s">
        <v>681</v>
      </c>
      <c r="D311" s="22"/>
      <c r="E311" s="23"/>
      <c r="F311" s="22">
        <v>106354</v>
      </c>
      <c r="G311" s="22" t="s">
        <v>20</v>
      </c>
      <c r="H311" s="36">
        <v>344</v>
      </c>
      <c r="I311" s="18">
        <v>41</v>
      </c>
      <c r="J311" s="22">
        <v>8304</v>
      </c>
      <c r="K311" s="22" t="s">
        <v>16</v>
      </c>
      <c r="L311" s="18">
        <v>0.79</v>
      </c>
      <c r="M311" s="18" t="s">
        <v>655</v>
      </c>
      <c r="O311" s="57" t="s">
        <v>731</v>
      </c>
      <c r="P311" s="57" t="s">
        <v>731</v>
      </c>
      <c r="Q311" s="57" t="s">
        <v>731</v>
      </c>
    </row>
    <row r="312" spans="1:17" s="18" customFormat="1" ht="12.75">
      <c r="A312" s="96"/>
      <c r="C312" s="39">
        <f>217/41526</f>
        <v>5.225641766604055E-3</v>
      </c>
      <c r="D312" s="22"/>
      <c r="E312" s="23"/>
      <c r="F312" s="22">
        <v>106435</v>
      </c>
      <c r="G312" s="22" t="s">
        <v>22</v>
      </c>
      <c r="H312" s="36">
        <v>439</v>
      </c>
      <c r="I312" s="18">
        <v>34</v>
      </c>
      <c r="J312" s="22">
        <v>8305</v>
      </c>
      <c r="K312" s="22" t="s">
        <v>16</v>
      </c>
      <c r="L312" s="18">
        <v>0.5</v>
      </c>
      <c r="M312" s="18" t="s">
        <v>656</v>
      </c>
      <c r="O312" s="57" t="s">
        <v>731</v>
      </c>
      <c r="P312" s="57" t="s">
        <v>731</v>
      </c>
      <c r="Q312" s="57" t="s">
        <v>731</v>
      </c>
    </row>
    <row r="313" spans="1:17" s="18" customFormat="1" ht="12.75">
      <c r="A313" s="96"/>
      <c r="D313" s="22"/>
      <c r="E313" s="23"/>
      <c r="F313" s="22">
        <v>104697</v>
      </c>
      <c r="G313" s="22" t="s">
        <v>25</v>
      </c>
      <c r="H313" s="36">
        <v>603</v>
      </c>
      <c r="I313" s="18">
        <v>43</v>
      </c>
      <c r="J313" s="22">
        <v>8307</v>
      </c>
      <c r="K313" s="22" t="s">
        <v>16</v>
      </c>
      <c r="L313" s="18">
        <v>0.63</v>
      </c>
      <c r="M313" s="18" t="s">
        <v>657</v>
      </c>
      <c r="O313" s="57" t="s">
        <v>731</v>
      </c>
      <c r="P313" s="57" t="s">
        <v>731</v>
      </c>
      <c r="Q313" s="57" t="s">
        <v>731</v>
      </c>
    </row>
    <row r="314" spans="1:17" s="18" customFormat="1" ht="12.75">
      <c r="A314" s="96"/>
      <c r="D314" s="22"/>
      <c r="E314" s="23"/>
      <c r="F314" s="22">
        <v>104186</v>
      </c>
      <c r="G314" s="22" t="s">
        <v>67</v>
      </c>
      <c r="H314" s="36">
        <v>753</v>
      </c>
      <c r="I314" s="18">
        <v>44</v>
      </c>
      <c r="J314" s="22">
        <v>8303</v>
      </c>
      <c r="K314" s="22" t="s">
        <v>16</v>
      </c>
      <c r="L314" s="18">
        <v>0.66</v>
      </c>
      <c r="M314" s="18" t="s">
        <v>658</v>
      </c>
      <c r="O314" s="57" t="s">
        <v>731</v>
      </c>
      <c r="P314" s="57" t="s">
        <v>731</v>
      </c>
      <c r="Q314" s="57" t="s">
        <v>731</v>
      </c>
    </row>
    <row r="315" spans="1:17" s="18" customFormat="1" ht="12.75">
      <c r="A315" s="96"/>
      <c r="B315" s="18" t="s">
        <v>634</v>
      </c>
      <c r="C315" s="18" t="s">
        <v>650</v>
      </c>
      <c r="D315" s="22" t="s">
        <v>635</v>
      </c>
      <c r="E315" s="23">
        <v>12.9</v>
      </c>
      <c r="F315" s="22">
        <v>112018</v>
      </c>
      <c r="G315" s="22" t="s">
        <v>14</v>
      </c>
      <c r="H315" s="36" t="s">
        <v>647</v>
      </c>
      <c r="I315" s="18">
        <v>142</v>
      </c>
      <c r="J315" s="22">
        <v>8307</v>
      </c>
      <c r="K315" s="38" t="s">
        <v>16</v>
      </c>
      <c r="L315" s="18">
        <v>1</v>
      </c>
      <c r="M315" s="18" t="s">
        <v>37</v>
      </c>
      <c r="N315" s="18">
        <v>0.26</v>
      </c>
      <c r="O315" s="57" t="s">
        <v>731</v>
      </c>
      <c r="P315" s="57" t="s">
        <v>731</v>
      </c>
      <c r="Q315" s="57" t="s">
        <v>731</v>
      </c>
    </row>
    <row r="316" spans="1:17" s="18" customFormat="1" ht="12.75">
      <c r="A316" s="96"/>
      <c r="C316" s="22" t="s">
        <v>682</v>
      </c>
      <c r="D316" s="22"/>
      <c r="E316" s="23"/>
      <c r="F316" s="22">
        <v>106354</v>
      </c>
      <c r="G316" s="22" t="s">
        <v>20</v>
      </c>
      <c r="H316" s="36">
        <v>344</v>
      </c>
      <c r="I316" s="18">
        <v>133</v>
      </c>
      <c r="J316" s="22">
        <v>8304</v>
      </c>
      <c r="K316" s="38" t="s">
        <v>16</v>
      </c>
      <c r="L316" s="18">
        <v>0.97</v>
      </c>
      <c r="M316" s="18" t="s">
        <v>659</v>
      </c>
      <c r="O316" s="57" t="s">
        <v>731</v>
      </c>
      <c r="P316" s="57" t="s">
        <v>731</v>
      </c>
      <c r="Q316" s="57" t="s">
        <v>731</v>
      </c>
    </row>
    <row r="317" spans="1:17" s="18" customFormat="1" ht="12.75">
      <c r="A317" s="96"/>
      <c r="C317" s="21">
        <f>664/41526</f>
        <v>1.5989982179839136E-2</v>
      </c>
      <c r="D317" s="22"/>
      <c r="E317" s="23"/>
      <c r="F317" s="22">
        <v>106435</v>
      </c>
      <c r="G317" s="22" t="s">
        <v>22</v>
      </c>
      <c r="H317" s="36">
        <v>439</v>
      </c>
      <c r="I317" s="18">
        <v>139</v>
      </c>
      <c r="J317" s="22">
        <v>8305</v>
      </c>
      <c r="K317" s="38" t="s">
        <v>16</v>
      </c>
      <c r="L317" s="18">
        <v>0.92</v>
      </c>
      <c r="M317" s="18" t="s">
        <v>660</v>
      </c>
      <c r="O317" s="57" t="s">
        <v>731</v>
      </c>
      <c r="P317" s="57" t="s">
        <v>731</v>
      </c>
      <c r="Q317" s="57" t="s">
        <v>731</v>
      </c>
    </row>
    <row r="318" spans="1:17" s="18" customFormat="1" ht="12.75">
      <c r="A318" s="96"/>
      <c r="D318" s="22"/>
      <c r="E318" s="23"/>
      <c r="F318" s="22">
        <v>104697</v>
      </c>
      <c r="G318" s="22" t="s">
        <v>25</v>
      </c>
      <c r="H318" s="36">
        <v>603</v>
      </c>
      <c r="I318" s="18">
        <v>119</v>
      </c>
      <c r="J318" s="22">
        <v>8307</v>
      </c>
      <c r="K318" s="38" t="s">
        <v>16</v>
      </c>
      <c r="L318" s="18">
        <v>0.78</v>
      </c>
      <c r="M318" s="18" t="s">
        <v>661</v>
      </c>
      <c r="O318" s="57" t="s">
        <v>731</v>
      </c>
      <c r="P318" s="57" t="s">
        <v>731</v>
      </c>
      <c r="Q318" s="57" t="s">
        <v>731</v>
      </c>
    </row>
    <row r="319" spans="1:17" s="18" customFormat="1" ht="12.75">
      <c r="A319" s="96"/>
      <c r="D319" s="22"/>
      <c r="E319" s="23"/>
      <c r="F319" s="22">
        <v>104186</v>
      </c>
      <c r="G319" s="22" t="s">
        <v>67</v>
      </c>
      <c r="H319" s="36">
        <v>753</v>
      </c>
      <c r="I319" s="18">
        <v>131</v>
      </c>
      <c r="J319" s="22">
        <v>8303</v>
      </c>
      <c r="K319" s="38" t="s">
        <v>16</v>
      </c>
      <c r="L319" s="18">
        <v>0.73</v>
      </c>
      <c r="M319" s="18" t="s">
        <v>662</v>
      </c>
      <c r="O319" s="57" t="s">
        <v>731</v>
      </c>
      <c r="P319" s="57" t="s">
        <v>731</v>
      </c>
      <c r="Q319" s="57" t="s">
        <v>731</v>
      </c>
    </row>
    <row r="320" spans="1:17" s="49" customFormat="1" ht="12.75">
      <c r="A320" s="97" t="s">
        <v>752</v>
      </c>
      <c r="B320" s="74" t="s">
        <v>401</v>
      </c>
      <c r="C320" s="74" t="s">
        <v>387</v>
      </c>
      <c r="D320" s="74" t="s">
        <v>13</v>
      </c>
      <c r="E320" s="3">
        <v>28</v>
      </c>
      <c r="F320" s="74" t="s">
        <v>18</v>
      </c>
      <c r="G320" s="74" t="s">
        <v>14</v>
      </c>
      <c r="H320" s="3" t="s">
        <v>663</v>
      </c>
      <c r="I320" s="15">
        <f>0.319*J320</f>
        <v>86.448999999999998</v>
      </c>
      <c r="J320" s="6">
        <v>271</v>
      </c>
      <c r="K320" s="74" t="s">
        <v>664</v>
      </c>
      <c r="L320" s="6">
        <v>1.3</v>
      </c>
      <c r="M320" s="6" t="s">
        <v>665</v>
      </c>
      <c r="N320" s="6" t="s">
        <v>53</v>
      </c>
      <c r="O320" s="51">
        <v>23.977</v>
      </c>
      <c r="P320" s="52">
        <v>74.084999999999994</v>
      </c>
      <c r="Q320" s="62" t="s">
        <v>731</v>
      </c>
    </row>
    <row r="321" spans="1:17" s="49" customFormat="1" ht="12.75">
      <c r="A321" s="97"/>
      <c r="B321" s="74"/>
      <c r="C321" s="74" t="s">
        <v>700</v>
      </c>
      <c r="D321" s="74"/>
      <c r="E321" s="3"/>
      <c r="F321" s="74" t="s">
        <v>18</v>
      </c>
      <c r="G321" s="74" t="s">
        <v>666</v>
      </c>
      <c r="H321" s="3" t="s">
        <v>667</v>
      </c>
      <c r="I321" s="15">
        <f>0.267*J321</f>
        <v>213.066</v>
      </c>
      <c r="J321" s="6">
        <v>798</v>
      </c>
      <c r="K321" s="74" t="s">
        <v>664</v>
      </c>
      <c r="L321" s="6">
        <v>1.1000000000000001</v>
      </c>
      <c r="M321" s="6" t="s">
        <v>668</v>
      </c>
      <c r="N321" s="6"/>
      <c r="O321" s="51">
        <v>138.803</v>
      </c>
      <c r="P321" s="52">
        <v>506.86399999999998</v>
      </c>
      <c r="Q321" s="62" t="s">
        <v>731</v>
      </c>
    </row>
    <row r="322" spans="1:17" s="49" customFormat="1" ht="12.75">
      <c r="A322" s="97"/>
      <c r="B322" s="74"/>
      <c r="C322" s="16">
        <f>366/1340</f>
        <v>0.27313432835820894</v>
      </c>
      <c r="D322" s="74"/>
      <c r="E322" s="3"/>
      <c r="F322" s="74" t="s">
        <v>669</v>
      </c>
      <c r="G322" s="74" t="s">
        <v>67</v>
      </c>
      <c r="H322" s="3" t="s">
        <v>670</v>
      </c>
      <c r="I322" s="15">
        <f>0.249*J322</f>
        <v>67.478999999999999</v>
      </c>
      <c r="J322" s="6">
        <v>271</v>
      </c>
      <c r="K322" s="74" t="s">
        <v>664</v>
      </c>
      <c r="L322" s="6">
        <v>1</v>
      </c>
      <c r="M322" s="6" t="s">
        <v>21</v>
      </c>
      <c r="N322" s="6"/>
      <c r="O322" s="51">
        <v>36.664000000000001</v>
      </c>
      <c r="P322" s="52">
        <v>147.27500000000001</v>
      </c>
      <c r="Q322" s="62" t="s">
        <v>731</v>
      </c>
    </row>
    <row r="323" spans="1:17" s="49" customFormat="1" ht="12.75">
      <c r="A323" s="97"/>
      <c r="B323" s="74" t="s">
        <v>137</v>
      </c>
      <c r="C323" s="74" t="s">
        <v>387</v>
      </c>
      <c r="D323" s="74" t="s">
        <v>13</v>
      </c>
      <c r="E323" s="3">
        <v>28</v>
      </c>
      <c r="F323" s="74" t="s">
        <v>18</v>
      </c>
      <c r="G323" s="74" t="s">
        <v>14</v>
      </c>
      <c r="H323" s="3" t="s">
        <v>671</v>
      </c>
      <c r="I323" s="15">
        <f>0.146*J323</f>
        <v>37.667999999999999</v>
      </c>
      <c r="J323" s="6">
        <v>258</v>
      </c>
      <c r="K323" s="74" t="s">
        <v>664</v>
      </c>
      <c r="L323" s="6">
        <v>1.3</v>
      </c>
      <c r="M323" s="6" t="s">
        <v>672</v>
      </c>
      <c r="N323" s="6" t="s">
        <v>730</v>
      </c>
      <c r="O323" s="51">
        <v>15.8948</v>
      </c>
      <c r="P323" s="52">
        <v>101.724</v>
      </c>
      <c r="Q323" s="62" t="s">
        <v>731</v>
      </c>
    </row>
    <row r="324" spans="1:17" s="49" customFormat="1" ht="12.75">
      <c r="A324" s="97"/>
      <c r="B324" s="74"/>
      <c r="C324" s="74" t="s">
        <v>701</v>
      </c>
      <c r="D324" s="74"/>
      <c r="E324" s="3"/>
      <c r="F324" s="74" t="s">
        <v>669</v>
      </c>
      <c r="G324" s="74" t="s">
        <v>666</v>
      </c>
      <c r="H324" s="3" t="s">
        <v>673</v>
      </c>
      <c r="I324" s="15">
        <f>0.144*J324</f>
        <v>107.99999999999999</v>
      </c>
      <c r="J324" s="6">
        <v>750</v>
      </c>
      <c r="K324" s="74" t="s">
        <v>664</v>
      </c>
      <c r="L324" s="6">
        <v>1.2</v>
      </c>
      <c r="M324" s="6" t="s">
        <v>674</v>
      </c>
      <c r="N324" s="6"/>
      <c r="O324" s="51">
        <v>85.706900000000005</v>
      </c>
      <c r="P324" s="52">
        <v>594.21799999999996</v>
      </c>
      <c r="Q324" s="62" t="s">
        <v>731</v>
      </c>
    </row>
    <row r="325" spans="1:17" s="49" customFormat="1" ht="12.75">
      <c r="A325" s="97"/>
      <c r="B325" s="74"/>
      <c r="C325" s="16">
        <f>178/1265</f>
        <v>0.14071146245059288</v>
      </c>
      <c r="D325" s="74"/>
      <c r="E325" s="3"/>
      <c r="F325" s="74" t="s">
        <v>669</v>
      </c>
      <c r="G325" s="74" t="s">
        <v>67</v>
      </c>
      <c r="H325" s="3" t="s">
        <v>675</v>
      </c>
      <c r="I325" s="15">
        <f>0.126*J325</f>
        <v>32.381999999999998</v>
      </c>
      <c r="J325" s="6">
        <v>257</v>
      </c>
      <c r="K325" s="74" t="s">
        <v>664</v>
      </c>
      <c r="L325" s="6">
        <v>1</v>
      </c>
      <c r="M325" s="6" t="s">
        <v>21</v>
      </c>
      <c r="N325" s="6"/>
      <c r="O325" s="51">
        <v>21.327200000000001</v>
      </c>
      <c r="P325" s="52">
        <v>177.43700000000001</v>
      </c>
      <c r="Q325" s="62" t="s">
        <v>731</v>
      </c>
    </row>
    <row r="326" spans="1:17" s="49" customFormat="1" ht="12.75">
      <c r="A326" s="97"/>
      <c r="B326" s="74" t="s">
        <v>401</v>
      </c>
      <c r="C326" s="74" t="s">
        <v>699</v>
      </c>
      <c r="D326" s="74" t="s">
        <v>13</v>
      </c>
      <c r="E326" s="3">
        <v>28</v>
      </c>
      <c r="F326" s="74" t="s">
        <v>18</v>
      </c>
      <c r="G326" s="74" t="s">
        <v>14</v>
      </c>
      <c r="H326" s="3" t="s">
        <v>663</v>
      </c>
      <c r="I326" s="15">
        <f>0.166*J326</f>
        <v>44.986000000000004</v>
      </c>
      <c r="J326" s="6">
        <v>271</v>
      </c>
      <c r="K326" s="74" t="s">
        <v>664</v>
      </c>
      <c r="L326" s="6">
        <v>0.9</v>
      </c>
      <c r="M326" s="6" t="s">
        <v>676</v>
      </c>
      <c r="N326" s="6" t="s">
        <v>53</v>
      </c>
      <c r="O326" s="62" t="s">
        <v>731</v>
      </c>
      <c r="P326" s="62" t="s">
        <v>731</v>
      </c>
      <c r="Q326" s="62" t="s">
        <v>731</v>
      </c>
    </row>
    <row r="327" spans="1:17" s="49" customFormat="1" ht="12.75">
      <c r="A327" s="97"/>
      <c r="B327" s="74"/>
      <c r="C327" s="74" t="s">
        <v>702</v>
      </c>
      <c r="D327" s="74"/>
      <c r="E327" s="3"/>
      <c r="F327" s="74" t="s">
        <v>18</v>
      </c>
      <c r="G327" s="74" t="s">
        <v>666</v>
      </c>
      <c r="H327" s="3" t="s">
        <v>667</v>
      </c>
      <c r="I327" s="15">
        <f>0.151*J327</f>
        <v>120.49799999999999</v>
      </c>
      <c r="J327" s="6">
        <v>798</v>
      </c>
      <c r="K327" s="74" t="s">
        <v>664</v>
      </c>
      <c r="L327" s="6">
        <v>1</v>
      </c>
      <c r="M327" s="6" t="s">
        <v>677</v>
      </c>
      <c r="N327" s="6"/>
      <c r="O327" s="62" t="s">
        <v>731</v>
      </c>
      <c r="P327" s="62" t="s">
        <v>731</v>
      </c>
      <c r="Q327" s="62" t="s">
        <v>731</v>
      </c>
    </row>
    <row r="328" spans="1:17" s="49" customFormat="1" ht="12.75">
      <c r="A328" s="97"/>
      <c r="B328" s="74"/>
      <c r="C328" s="16">
        <f>204/1340</f>
        <v>0.15223880597014924</v>
      </c>
      <c r="D328" s="74"/>
      <c r="E328" s="3"/>
      <c r="F328" s="74" t="s">
        <v>669</v>
      </c>
      <c r="G328" s="74" t="s">
        <v>67</v>
      </c>
      <c r="H328" s="3" t="s">
        <v>670</v>
      </c>
      <c r="I328" s="15">
        <f>0.145*J328</f>
        <v>39.294999999999995</v>
      </c>
      <c r="J328" s="6">
        <v>271</v>
      </c>
      <c r="K328" s="74" t="s">
        <v>664</v>
      </c>
      <c r="L328" s="6">
        <v>1</v>
      </c>
      <c r="M328" s="6" t="s">
        <v>21</v>
      </c>
      <c r="N328" s="6"/>
      <c r="O328" s="62" t="s">
        <v>731</v>
      </c>
      <c r="P328" s="62" t="s">
        <v>731</v>
      </c>
      <c r="Q328" s="62" t="s">
        <v>731</v>
      </c>
    </row>
    <row r="329" spans="1:17" s="49" customFormat="1" ht="12.75">
      <c r="A329" s="97"/>
      <c r="B329" s="74" t="s">
        <v>137</v>
      </c>
      <c r="C329" s="74" t="s">
        <v>557</v>
      </c>
      <c r="D329" s="74" t="s">
        <v>13</v>
      </c>
      <c r="E329" s="3">
        <v>28</v>
      </c>
      <c r="F329" s="74" t="s">
        <v>18</v>
      </c>
      <c r="G329" s="74" t="s">
        <v>14</v>
      </c>
      <c r="H329" s="3" t="s">
        <v>671</v>
      </c>
      <c r="I329" s="15">
        <f>0.062*J329</f>
        <v>15.996</v>
      </c>
      <c r="J329" s="6">
        <v>258</v>
      </c>
      <c r="K329" s="74" t="s">
        <v>664</v>
      </c>
      <c r="L329" s="6">
        <v>1.1000000000000001</v>
      </c>
      <c r="M329" s="6" t="s">
        <v>678</v>
      </c>
      <c r="N329" s="6" t="s">
        <v>53</v>
      </c>
      <c r="O329" s="62" t="s">
        <v>731</v>
      </c>
      <c r="P329" s="62" t="s">
        <v>731</v>
      </c>
      <c r="Q329" s="62" t="s">
        <v>731</v>
      </c>
    </row>
    <row r="330" spans="1:17" s="49" customFormat="1" ht="12.75">
      <c r="A330" s="97"/>
      <c r="B330" s="74"/>
      <c r="C330" s="74" t="s">
        <v>703</v>
      </c>
      <c r="D330" s="74"/>
      <c r="E330" s="3"/>
      <c r="F330" s="74" t="s">
        <v>18</v>
      </c>
      <c r="G330" s="74" t="s">
        <v>666</v>
      </c>
      <c r="H330" s="3" t="s">
        <v>673</v>
      </c>
      <c r="I330" s="15">
        <f>0.063*J330</f>
        <v>47.25</v>
      </c>
      <c r="J330" s="6">
        <v>750</v>
      </c>
      <c r="K330" s="74" t="s">
        <v>664</v>
      </c>
      <c r="L330" s="6">
        <v>1.2</v>
      </c>
      <c r="M330" s="6" t="s">
        <v>679</v>
      </c>
      <c r="N330" s="6"/>
      <c r="O330" s="62" t="s">
        <v>731</v>
      </c>
      <c r="P330" s="62" t="s">
        <v>731</v>
      </c>
      <c r="Q330" s="62" t="s">
        <v>731</v>
      </c>
    </row>
    <row r="331" spans="1:17" s="49" customFormat="1" ht="12.75">
      <c r="A331" s="97"/>
      <c r="B331" s="74"/>
      <c r="C331" s="10">
        <f>74/1265</f>
        <v>5.8498023715415022E-2</v>
      </c>
      <c r="D331" s="74"/>
      <c r="E331" s="3"/>
      <c r="F331" s="74" t="s">
        <v>669</v>
      </c>
      <c r="G331" s="74" t="s">
        <v>67</v>
      </c>
      <c r="H331" s="3" t="s">
        <v>675</v>
      </c>
      <c r="I331" s="15">
        <f>0.044*J331</f>
        <v>11.308</v>
      </c>
      <c r="J331" s="6">
        <v>257</v>
      </c>
      <c r="K331" s="74" t="s">
        <v>664</v>
      </c>
      <c r="L331" s="6">
        <v>1</v>
      </c>
      <c r="M331" s="6" t="s">
        <v>21</v>
      </c>
      <c r="N331" s="6"/>
      <c r="O331" s="62" t="s">
        <v>731</v>
      </c>
      <c r="P331" s="62" t="s">
        <v>731</v>
      </c>
      <c r="Q331" s="62" t="s">
        <v>731</v>
      </c>
    </row>
    <row r="332" spans="1:17" s="18" customFormat="1" ht="12.75">
      <c r="A332" s="96" t="s">
        <v>738</v>
      </c>
      <c r="B332" s="22" t="s">
        <v>49</v>
      </c>
      <c r="C332" s="22" t="s">
        <v>12</v>
      </c>
      <c r="D332" s="22" t="s">
        <v>33</v>
      </c>
      <c r="E332" s="23">
        <v>14.4</v>
      </c>
      <c r="F332" s="22" t="s">
        <v>18</v>
      </c>
      <c r="G332" s="22" t="s">
        <v>14</v>
      </c>
      <c r="H332" s="23" t="s">
        <v>177</v>
      </c>
      <c r="I332" s="22" t="s">
        <v>18</v>
      </c>
      <c r="J332" s="22" t="s">
        <v>18</v>
      </c>
      <c r="K332" s="18" t="s">
        <v>23</v>
      </c>
      <c r="L332" s="22">
        <v>1.23</v>
      </c>
      <c r="M332" s="22" t="s">
        <v>178</v>
      </c>
      <c r="N332" s="22" t="s">
        <v>18</v>
      </c>
      <c r="O332" s="18" t="s">
        <v>732</v>
      </c>
      <c r="P332" s="18" t="s">
        <v>732</v>
      </c>
      <c r="Q332" s="18" t="s">
        <v>732</v>
      </c>
    </row>
    <row r="333" spans="1:17" s="18" customFormat="1" ht="12.75">
      <c r="A333" s="96"/>
      <c r="B333" s="22"/>
      <c r="C333" s="22" t="s">
        <v>179</v>
      </c>
      <c r="D333" s="22"/>
      <c r="E333" s="23"/>
      <c r="F333" s="87" t="s">
        <v>53</v>
      </c>
      <c r="G333" s="22" t="s">
        <v>20</v>
      </c>
      <c r="H333" s="23" t="s">
        <v>180</v>
      </c>
      <c r="I333" s="22" t="s">
        <v>18</v>
      </c>
      <c r="J333" s="22" t="s">
        <v>18</v>
      </c>
      <c r="K333" s="18" t="s">
        <v>36</v>
      </c>
      <c r="L333" s="22">
        <v>1.01</v>
      </c>
      <c r="M333" s="22" t="s">
        <v>181</v>
      </c>
      <c r="N333" s="22"/>
      <c r="O333" s="18" t="s">
        <v>732</v>
      </c>
      <c r="P333" s="18" t="s">
        <v>732</v>
      </c>
      <c r="Q333" s="18" t="s">
        <v>732</v>
      </c>
    </row>
    <row r="334" spans="1:17" s="18" customFormat="1" ht="12.75">
      <c r="A334" s="96"/>
      <c r="B334" s="22"/>
      <c r="C334" s="22"/>
      <c r="D334" s="22"/>
      <c r="E334" s="23"/>
      <c r="F334" s="46" t="s">
        <v>53</v>
      </c>
      <c r="G334" s="22" t="s">
        <v>22</v>
      </c>
      <c r="H334" s="23" t="s">
        <v>182</v>
      </c>
      <c r="I334" s="22" t="s">
        <v>92</v>
      </c>
      <c r="J334" s="22" t="s">
        <v>92</v>
      </c>
      <c r="K334" s="18" t="s">
        <v>183</v>
      </c>
      <c r="L334" s="22">
        <v>1</v>
      </c>
      <c r="M334" s="22" t="s">
        <v>37</v>
      </c>
      <c r="N334" s="22"/>
      <c r="O334" s="18" t="s">
        <v>732</v>
      </c>
      <c r="P334" s="18" t="s">
        <v>732</v>
      </c>
      <c r="Q334" s="18" t="s">
        <v>732</v>
      </c>
    </row>
    <row r="335" spans="1:17" s="18" customFormat="1" ht="12.75">
      <c r="A335" s="96"/>
      <c r="B335" s="22"/>
      <c r="C335" s="22"/>
      <c r="D335" s="22"/>
      <c r="E335" s="23"/>
      <c r="F335" s="46" t="s">
        <v>53</v>
      </c>
      <c r="G335" s="22" t="s">
        <v>25</v>
      </c>
      <c r="H335" s="23" t="s">
        <v>184</v>
      </c>
      <c r="I335" s="22" t="s">
        <v>18</v>
      </c>
      <c r="J335" s="22" t="s">
        <v>18</v>
      </c>
      <c r="K335" s="18" t="s">
        <v>36</v>
      </c>
      <c r="L335" s="22">
        <v>0.85</v>
      </c>
      <c r="M335" s="22" t="s">
        <v>185</v>
      </c>
      <c r="N335" s="22"/>
      <c r="O335" s="18" t="s">
        <v>732</v>
      </c>
      <c r="P335" s="18" t="s">
        <v>732</v>
      </c>
      <c r="Q335" s="18" t="s">
        <v>732</v>
      </c>
    </row>
    <row r="336" spans="1:17" s="18" customFormat="1" ht="12.75">
      <c r="A336" s="96"/>
      <c r="B336" s="22"/>
      <c r="C336" s="22"/>
      <c r="D336" s="22"/>
      <c r="E336" s="23"/>
      <c r="F336" s="46" t="s">
        <v>53</v>
      </c>
      <c r="G336" s="22" t="s">
        <v>67</v>
      </c>
      <c r="H336" s="23" t="s">
        <v>186</v>
      </c>
      <c r="I336" s="22" t="s">
        <v>18</v>
      </c>
      <c r="J336" s="22" t="s">
        <v>18</v>
      </c>
      <c r="K336" s="18" t="s">
        <v>36</v>
      </c>
      <c r="L336" s="22">
        <v>0.84</v>
      </c>
      <c r="M336" s="22" t="s">
        <v>187</v>
      </c>
      <c r="N336" s="22"/>
      <c r="O336" s="18" t="s">
        <v>732</v>
      </c>
      <c r="P336" s="18" t="s">
        <v>732</v>
      </c>
      <c r="Q336" s="18" t="s">
        <v>732</v>
      </c>
    </row>
    <row r="337" spans="1:17" s="18" customFormat="1" ht="12.75">
      <c r="A337" s="96"/>
      <c r="B337" s="22" t="s">
        <v>49</v>
      </c>
      <c r="C337" s="22" t="s">
        <v>27</v>
      </c>
      <c r="D337" s="22" t="s">
        <v>188</v>
      </c>
      <c r="E337" s="23">
        <v>14.4</v>
      </c>
      <c r="F337" s="46" t="s">
        <v>53</v>
      </c>
      <c r="G337" s="22" t="s">
        <v>14</v>
      </c>
      <c r="H337" s="23" t="s">
        <v>177</v>
      </c>
      <c r="I337" s="22" t="s">
        <v>18</v>
      </c>
      <c r="J337" s="22" t="s">
        <v>18</v>
      </c>
      <c r="K337" s="18" t="s">
        <v>36</v>
      </c>
      <c r="L337" s="22">
        <v>1.41</v>
      </c>
      <c r="M337" s="22" t="s">
        <v>189</v>
      </c>
      <c r="N337" s="22" t="s">
        <v>18</v>
      </c>
    </row>
    <row r="338" spans="1:17" s="18" customFormat="1" ht="12.75">
      <c r="A338" s="96"/>
      <c r="B338" s="22"/>
      <c r="C338" s="22" t="s">
        <v>92</v>
      </c>
      <c r="D338" s="22"/>
      <c r="E338" s="23"/>
      <c r="F338" s="46" t="s">
        <v>53</v>
      </c>
      <c r="G338" s="22" t="s">
        <v>20</v>
      </c>
      <c r="H338" s="23" t="s">
        <v>180</v>
      </c>
      <c r="I338" s="22" t="s">
        <v>92</v>
      </c>
      <c r="J338" s="22" t="s">
        <v>92</v>
      </c>
      <c r="K338" s="18" t="s">
        <v>183</v>
      </c>
      <c r="L338" s="22">
        <v>1.2</v>
      </c>
      <c r="M338" s="22" t="s">
        <v>190</v>
      </c>
      <c r="N338" s="22"/>
      <c r="O338" s="18" t="s">
        <v>732</v>
      </c>
      <c r="P338" s="18" t="s">
        <v>732</v>
      </c>
      <c r="Q338" s="18" t="s">
        <v>732</v>
      </c>
    </row>
    <row r="339" spans="1:17" s="18" customFormat="1" ht="12.75">
      <c r="A339" s="96"/>
      <c r="B339" s="22"/>
      <c r="C339" s="22"/>
      <c r="D339" s="22"/>
      <c r="E339" s="23"/>
      <c r="F339" s="87" t="s">
        <v>53</v>
      </c>
      <c r="G339" s="22" t="s">
        <v>22</v>
      </c>
      <c r="H339" s="23" t="s">
        <v>182</v>
      </c>
      <c r="I339" s="22" t="s">
        <v>92</v>
      </c>
      <c r="J339" s="22" t="s">
        <v>92</v>
      </c>
      <c r="K339" s="18" t="s">
        <v>183</v>
      </c>
      <c r="L339" s="22">
        <v>1</v>
      </c>
      <c r="M339" s="22" t="s">
        <v>37</v>
      </c>
      <c r="N339" s="22"/>
      <c r="O339" s="18" t="s">
        <v>732</v>
      </c>
      <c r="P339" s="18" t="s">
        <v>732</v>
      </c>
      <c r="Q339" s="18" t="s">
        <v>732</v>
      </c>
    </row>
    <row r="340" spans="1:17" s="18" customFormat="1" ht="12.75">
      <c r="A340" s="96"/>
      <c r="B340" s="22"/>
      <c r="C340" s="22"/>
      <c r="D340" s="22"/>
      <c r="E340" s="23"/>
      <c r="F340" s="46" t="s">
        <v>53</v>
      </c>
      <c r="G340" s="22" t="s">
        <v>25</v>
      </c>
      <c r="H340" s="23" t="s">
        <v>184</v>
      </c>
      <c r="I340" s="22" t="s">
        <v>18</v>
      </c>
      <c r="J340" s="22" t="s">
        <v>18</v>
      </c>
      <c r="K340" s="18" t="s">
        <v>36</v>
      </c>
      <c r="L340" s="22">
        <v>0.73</v>
      </c>
      <c r="M340" s="22" t="s">
        <v>191</v>
      </c>
      <c r="N340" s="22"/>
      <c r="O340" s="18" t="s">
        <v>732</v>
      </c>
      <c r="P340" s="18" t="s">
        <v>732</v>
      </c>
      <c r="Q340" s="18" t="s">
        <v>732</v>
      </c>
    </row>
    <row r="341" spans="1:17" s="18" customFormat="1" ht="12.75">
      <c r="A341" s="96"/>
      <c r="B341" s="22"/>
      <c r="C341" s="22"/>
      <c r="D341" s="22"/>
      <c r="E341" s="23"/>
      <c r="F341" s="46" t="s">
        <v>53</v>
      </c>
      <c r="G341" s="22" t="s">
        <v>67</v>
      </c>
      <c r="H341" s="23" t="s">
        <v>186</v>
      </c>
      <c r="I341" s="22" t="s">
        <v>92</v>
      </c>
      <c r="J341" s="22" t="s">
        <v>92</v>
      </c>
      <c r="K341" s="18" t="s">
        <v>183</v>
      </c>
      <c r="L341" s="22">
        <v>0.92</v>
      </c>
      <c r="M341" s="22" t="s">
        <v>192</v>
      </c>
      <c r="N341" s="22"/>
      <c r="O341" s="18" t="s">
        <v>732</v>
      </c>
      <c r="P341" s="18" t="s">
        <v>732</v>
      </c>
      <c r="Q341" s="18" t="s">
        <v>732</v>
      </c>
    </row>
    <row r="342" spans="1:17" s="18" customFormat="1" ht="12.75">
      <c r="A342" s="96"/>
      <c r="B342" s="22" t="s">
        <v>49</v>
      </c>
      <c r="C342" s="22" t="s">
        <v>32</v>
      </c>
      <c r="D342" s="22" t="s">
        <v>193</v>
      </c>
      <c r="E342" s="23">
        <v>14.4</v>
      </c>
      <c r="F342" s="46" t="s">
        <v>53</v>
      </c>
      <c r="G342" s="22" t="s">
        <v>69</v>
      </c>
      <c r="H342" s="23" t="s">
        <v>194</v>
      </c>
      <c r="I342" s="22" t="s">
        <v>195</v>
      </c>
      <c r="J342" s="22" t="s">
        <v>195</v>
      </c>
      <c r="K342" s="18" t="s">
        <v>23</v>
      </c>
      <c r="L342" s="22">
        <v>0.86</v>
      </c>
      <c r="M342" s="22" t="s">
        <v>196</v>
      </c>
      <c r="N342" s="22" t="s">
        <v>18</v>
      </c>
      <c r="O342" s="18" t="s">
        <v>732</v>
      </c>
      <c r="P342" s="18" t="s">
        <v>732</v>
      </c>
      <c r="Q342" s="18" t="s">
        <v>732</v>
      </c>
    </row>
    <row r="343" spans="1:17" s="18" customFormat="1" ht="12.75">
      <c r="A343" s="96"/>
      <c r="B343" s="22"/>
      <c r="C343" s="22" t="s">
        <v>92</v>
      </c>
      <c r="D343" s="22"/>
      <c r="E343" s="23"/>
      <c r="F343" s="46" t="s">
        <v>53</v>
      </c>
      <c r="G343" s="22" t="s">
        <v>197</v>
      </c>
      <c r="H343" s="23" t="s">
        <v>198</v>
      </c>
      <c r="I343" s="22" t="s">
        <v>18</v>
      </c>
      <c r="J343" s="22" t="s">
        <v>18</v>
      </c>
      <c r="K343" s="18" t="s">
        <v>23</v>
      </c>
      <c r="L343" s="22">
        <v>0.86</v>
      </c>
      <c r="M343" s="22" t="s">
        <v>199</v>
      </c>
      <c r="N343" s="22"/>
      <c r="O343" s="18" t="s">
        <v>732</v>
      </c>
      <c r="P343" s="18" t="s">
        <v>732</v>
      </c>
      <c r="Q343" s="18" t="s">
        <v>732</v>
      </c>
    </row>
    <row r="344" spans="1:17" s="18" customFormat="1" ht="12.75">
      <c r="A344" s="96"/>
      <c r="B344" s="22"/>
      <c r="C344" s="22"/>
      <c r="D344" s="22"/>
      <c r="E344" s="23"/>
      <c r="F344" s="46" t="s">
        <v>53</v>
      </c>
      <c r="G344" s="22" t="s">
        <v>200</v>
      </c>
      <c r="H344" s="23" t="s">
        <v>201</v>
      </c>
      <c r="I344" s="22" t="s">
        <v>18</v>
      </c>
      <c r="J344" s="22" t="s">
        <v>18</v>
      </c>
      <c r="K344" s="18" t="s">
        <v>23</v>
      </c>
      <c r="L344" s="22">
        <v>1</v>
      </c>
      <c r="M344" s="22" t="s">
        <v>37</v>
      </c>
      <c r="N344" s="22"/>
      <c r="O344" s="18" t="s">
        <v>732</v>
      </c>
      <c r="P344" s="18" t="s">
        <v>732</v>
      </c>
      <c r="Q344" s="18" t="s">
        <v>732</v>
      </c>
    </row>
    <row r="345" spans="1:17" s="18" customFormat="1" ht="12.75">
      <c r="A345" s="96"/>
      <c r="B345" s="22"/>
      <c r="C345" s="22"/>
      <c r="D345" s="22"/>
      <c r="E345" s="23"/>
      <c r="F345" s="87" t="s">
        <v>53</v>
      </c>
      <c r="G345" s="22" t="s">
        <v>202</v>
      </c>
      <c r="H345" s="23" t="s">
        <v>203</v>
      </c>
      <c r="I345" s="22" t="s">
        <v>18</v>
      </c>
      <c r="J345" s="22" t="s">
        <v>18</v>
      </c>
      <c r="K345" s="18" t="s">
        <v>36</v>
      </c>
      <c r="L345" s="22">
        <v>1.1000000000000001</v>
      </c>
      <c r="M345" s="22" t="s">
        <v>204</v>
      </c>
      <c r="N345" s="22"/>
      <c r="O345" s="18" t="s">
        <v>732</v>
      </c>
      <c r="P345" s="18" t="s">
        <v>732</v>
      </c>
      <c r="Q345" s="18" t="s">
        <v>732</v>
      </c>
    </row>
    <row r="346" spans="1:17" s="18" customFormat="1" ht="12.75">
      <c r="A346" s="96"/>
      <c r="B346" s="22" t="s">
        <v>49</v>
      </c>
      <c r="C346" s="22" t="s">
        <v>27</v>
      </c>
      <c r="D346" s="22" t="s">
        <v>193</v>
      </c>
      <c r="E346" s="23">
        <v>14.4</v>
      </c>
      <c r="F346" s="46" t="s">
        <v>53</v>
      </c>
      <c r="G346" s="22" t="s">
        <v>69</v>
      </c>
      <c r="H346" s="23" t="s">
        <v>194</v>
      </c>
      <c r="I346" s="22" t="s">
        <v>195</v>
      </c>
      <c r="J346" s="22" t="s">
        <v>195</v>
      </c>
      <c r="K346" s="18" t="s">
        <v>23</v>
      </c>
      <c r="L346" s="22">
        <v>1.1299999999999999</v>
      </c>
      <c r="M346" s="22" t="s">
        <v>205</v>
      </c>
      <c r="N346" s="22" t="s">
        <v>18</v>
      </c>
      <c r="O346" s="18" t="s">
        <v>732</v>
      </c>
      <c r="P346" s="18" t="s">
        <v>732</v>
      </c>
      <c r="Q346" s="18" t="s">
        <v>732</v>
      </c>
    </row>
    <row r="347" spans="1:17" s="18" customFormat="1" ht="12.75">
      <c r="A347" s="96"/>
      <c r="B347" s="22"/>
      <c r="C347" s="22" t="s">
        <v>92</v>
      </c>
      <c r="D347" s="22"/>
      <c r="E347" s="23"/>
      <c r="F347" s="46" t="s">
        <v>53</v>
      </c>
      <c r="G347" s="22" t="s">
        <v>197</v>
      </c>
      <c r="H347" s="23" t="s">
        <v>198</v>
      </c>
      <c r="I347" s="22" t="s">
        <v>92</v>
      </c>
      <c r="J347" s="22" t="s">
        <v>92</v>
      </c>
      <c r="K347" s="18" t="s">
        <v>183</v>
      </c>
      <c r="L347" s="22">
        <v>1.03</v>
      </c>
      <c r="M347" s="22" t="s">
        <v>206</v>
      </c>
      <c r="N347" s="22"/>
      <c r="O347" s="18" t="s">
        <v>732</v>
      </c>
      <c r="P347" s="18" t="s">
        <v>732</v>
      </c>
      <c r="Q347" s="18" t="s">
        <v>732</v>
      </c>
    </row>
    <row r="348" spans="1:17" s="18" customFormat="1" ht="12.75">
      <c r="A348" s="96"/>
      <c r="B348" s="22"/>
      <c r="C348" s="22"/>
      <c r="D348" s="22"/>
      <c r="E348" s="23"/>
      <c r="F348" s="46" t="s">
        <v>53</v>
      </c>
      <c r="G348" s="22" t="s">
        <v>207</v>
      </c>
      <c r="H348" s="23" t="s">
        <v>201</v>
      </c>
      <c r="I348" s="22" t="s">
        <v>92</v>
      </c>
      <c r="J348" s="22" t="s">
        <v>92</v>
      </c>
      <c r="K348" s="18" t="s">
        <v>183</v>
      </c>
      <c r="L348" s="22">
        <v>1</v>
      </c>
      <c r="M348" s="22" t="s">
        <v>37</v>
      </c>
      <c r="N348" s="22"/>
      <c r="O348" s="18" t="s">
        <v>732</v>
      </c>
      <c r="P348" s="18" t="s">
        <v>732</v>
      </c>
      <c r="Q348" s="18" t="s">
        <v>732</v>
      </c>
    </row>
    <row r="349" spans="1:17" s="18" customFormat="1" ht="12.75">
      <c r="A349" s="96"/>
      <c r="B349" s="22"/>
      <c r="C349" s="22"/>
      <c r="D349" s="22"/>
      <c r="E349" s="23"/>
      <c r="F349" s="46" t="s">
        <v>53</v>
      </c>
      <c r="G349" s="22" t="s">
        <v>202</v>
      </c>
      <c r="H349" s="23" t="s">
        <v>203</v>
      </c>
      <c r="I349" s="22" t="s">
        <v>18</v>
      </c>
      <c r="J349" s="22" t="s">
        <v>18</v>
      </c>
      <c r="K349" s="18" t="s">
        <v>36</v>
      </c>
      <c r="L349" s="22">
        <v>0.96</v>
      </c>
      <c r="M349" s="22" t="s">
        <v>208</v>
      </c>
      <c r="N349" s="22"/>
      <c r="O349" s="18" t="s">
        <v>732</v>
      </c>
      <c r="P349" s="18" t="s">
        <v>732</v>
      </c>
      <c r="Q349" s="18" t="s">
        <v>732</v>
      </c>
    </row>
    <row r="350" spans="1:17" s="18" customFormat="1" ht="12.75">
      <c r="A350" s="96"/>
      <c r="B350" s="22" t="s">
        <v>49</v>
      </c>
      <c r="C350" s="22" t="s">
        <v>32</v>
      </c>
      <c r="D350" s="22" t="s">
        <v>331</v>
      </c>
      <c r="E350" s="23">
        <v>14.4</v>
      </c>
      <c r="F350" s="46" t="s">
        <v>53</v>
      </c>
      <c r="G350" s="22" t="s">
        <v>69</v>
      </c>
      <c r="H350" s="88">
        <v>0</v>
      </c>
      <c r="I350" s="22" t="s">
        <v>18</v>
      </c>
      <c r="J350" s="22" t="s">
        <v>18</v>
      </c>
      <c r="K350" s="18" t="s">
        <v>36</v>
      </c>
      <c r="L350" s="22">
        <v>1</v>
      </c>
      <c r="M350" s="22" t="s">
        <v>41</v>
      </c>
      <c r="N350" s="22" t="s">
        <v>18</v>
      </c>
      <c r="O350" s="18" t="s">
        <v>732</v>
      </c>
      <c r="P350" s="18" t="s">
        <v>732</v>
      </c>
      <c r="Q350" s="18" t="s">
        <v>732</v>
      </c>
    </row>
    <row r="351" spans="1:17" s="18" customFormat="1" ht="12.75">
      <c r="A351" s="96"/>
      <c r="B351" s="22"/>
      <c r="C351" s="22" t="s">
        <v>18</v>
      </c>
      <c r="D351" s="22"/>
      <c r="E351" s="23"/>
      <c r="F351" s="46" t="s">
        <v>53</v>
      </c>
      <c r="G351" s="22" t="s">
        <v>209</v>
      </c>
      <c r="H351" s="88" t="s">
        <v>210</v>
      </c>
      <c r="I351" s="22" t="s">
        <v>18</v>
      </c>
      <c r="J351" s="22" t="s">
        <v>18</v>
      </c>
      <c r="K351" s="18" t="s">
        <v>36</v>
      </c>
      <c r="L351" s="22">
        <v>0.9</v>
      </c>
      <c r="M351" s="22" t="s">
        <v>211</v>
      </c>
      <c r="N351" s="22"/>
      <c r="O351" s="18" t="s">
        <v>732</v>
      </c>
      <c r="P351" s="18" t="s">
        <v>732</v>
      </c>
      <c r="Q351" s="18" t="s">
        <v>732</v>
      </c>
    </row>
    <row r="352" spans="1:17" s="18" customFormat="1" ht="12.75">
      <c r="A352" s="96"/>
      <c r="B352" s="22"/>
      <c r="C352" s="22"/>
      <c r="D352" s="22"/>
      <c r="E352" s="23"/>
      <c r="F352" s="46" t="s">
        <v>53</v>
      </c>
      <c r="G352" s="22" t="s">
        <v>207</v>
      </c>
      <c r="H352" s="88" t="s">
        <v>212</v>
      </c>
      <c r="I352" s="22" t="s">
        <v>92</v>
      </c>
      <c r="J352" s="22" t="s">
        <v>92</v>
      </c>
      <c r="K352" s="22" t="s">
        <v>183</v>
      </c>
      <c r="L352" s="22">
        <v>0.65</v>
      </c>
      <c r="M352" s="22" t="s">
        <v>213</v>
      </c>
      <c r="N352" s="22"/>
      <c r="O352" s="18" t="s">
        <v>732</v>
      </c>
      <c r="P352" s="18" t="s">
        <v>732</v>
      </c>
      <c r="Q352" s="18" t="s">
        <v>732</v>
      </c>
    </row>
    <row r="353" spans="1:17" s="18" customFormat="1" ht="12.75">
      <c r="A353" s="96"/>
      <c r="B353" s="22"/>
      <c r="C353" s="22"/>
      <c r="D353" s="22"/>
      <c r="E353" s="23"/>
      <c r="F353" s="46" t="s">
        <v>53</v>
      </c>
      <c r="G353" s="22" t="s">
        <v>214</v>
      </c>
      <c r="H353" s="88" t="s">
        <v>215</v>
      </c>
      <c r="I353" s="22" t="s">
        <v>92</v>
      </c>
      <c r="J353" s="22" t="s">
        <v>92</v>
      </c>
      <c r="K353" s="22" t="s">
        <v>183</v>
      </c>
      <c r="L353" s="22">
        <v>0.82</v>
      </c>
      <c r="M353" s="22" t="s">
        <v>216</v>
      </c>
      <c r="N353" s="22"/>
      <c r="O353" s="18" t="s">
        <v>732</v>
      </c>
      <c r="P353" s="18" t="s">
        <v>732</v>
      </c>
      <c r="Q353" s="18" t="s">
        <v>732</v>
      </c>
    </row>
    <row r="354" spans="1:17" s="18" customFormat="1" ht="12.75">
      <c r="A354" s="96"/>
      <c r="B354" s="22" t="s">
        <v>49</v>
      </c>
      <c r="C354" s="22" t="s">
        <v>217</v>
      </c>
      <c r="D354" s="22" t="s">
        <v>331</v>
      </c>
      <c r="E354" s="23">
        <v>14.4</v>
      </c>
      <c r="F354" s="87" t="s">
        <v>53</v>
      </c>
      <c r="G354" s="22" t="s">
        <v>69</v>
      </c>
      <c r="H354" s="23">
        <v>0</v>
      </c>
      <c r="I354" s="22" t="s">
        <v>218</v>
      </c>
      <c r="J354" s="22" t="s">
        <v>218</v>
      </c>
      <c r="K354" s="22" t="s">
        <v>219</v>
      </c>
      <c r="L354" s="22">
        <v>1</v>
      </c>
      <c r="M354" s="22" t="s">
        <v>37</v>
      </c>
      <c r="N354" s="22" t="s">
        <v>18</v>
      </c>
      <c r="O354" s="18" t="s">
        <v>732</v>
      </c>
      <c r="P354" s="18" t="s">
        <v>732</v>
      </c>
      <c r="Q354" s="18" t="s">
        <v>732</v>
      </c>
    </row>
    <row r="355" spans="1:17" s="18" customFormat="1" ht="12.75">
      <c r="A355" s="96"/>
      <c r="B355" s="22"/>
      <c r="C355" s="22" t="s">
        <v>18</v>
      </c>
      <c r="D355" s="22"/>
      <c r="E355" s="23"/>
      <c r="F355" s="46" t="s">
        <v>53</v>
      </c>
      <c r="G355" s="22" t="s">
        <v>209</v>
      </c>
      <c r="H355" s="23" t="s">
        <v>220</v>
      </c>
      <c r="I355" s="22" t="s">
        <v>221</v>
      </c>
      <c r="J355" s="22" t="s">
        <v>221</v>
      </c>
      <c r="K355" s="22" t="s">
        <v>222</v>
      </c>
      <c r="L355" s="22">
        <v>1.07</v>
      </c>
      <c r="M355" s="22" t="s">
        <v>223</v>
      </c>
      <c r="N355" s="22"/>
      <c r="O355" s="18" t="s">
        <v>732</v>
      </c>
      <c r="P355" s="18" t="s">
        <v>732</v>
      </c>
      <c r="Q355" s="18" t="s">
        <v>732</v>
      </c>
    </row>
    <row r="356" spans="1:17" s="18" customFormat="1" ht="12.75">
      <c r="A356" s="96"/>
      <c r="B356" s="22"/>
      <c r="C356" s="22"/>
      <c r="D356" s="22"/>
      <c r="E356" s="23"/>
      <c r="F356" s="46" t="s">
        <v>53</v>
      </c>
      <c r="G356" s="22" t="s">
        <v>207</v>
      </c>
      <c r="H356" s="23" t="s">
        <v>224</v>
      </c>
      <c r="I356" s="22" t="s">
        <v>18</v>
      </c>
      <c r="J356" s="22" t="s">
        <v>18</v>
      </c>
      <c r="K356" s="22" t="s">
        <v>23</v>
      </c>
      <c r="L356" s="22">
        <v>0.67</v>
      </c>
      <c r="M356" s="22" t="s">
        <v>225</v>
      </c>
      <c r="N356" s="22"/>
      <c r="O356" s="18" t="s">
        <v>732</v>
      </c>
      <c r="P356" s="18" t="s">
        <v>732</v>
      </c>
      <c r="Q356" s="18" t="s">
        <v>732</v>
      </c>
    </row>
    <row r="357" spans="1:17" s="18" customFormat="1" ht="12.75">
      <c r="A357" s="96"/>
      <c r="B357" s="22"/>
      <c r="C357" s="22"/>
      <c r="D357" s="22"/>
      <c r="E357" s="23"/>
      <c r="F357" s="22" t="s">
        <v>92</v>
      </c>
      <c r="G357" s="22" t="s">
        <v>214</v>
      </c>
      <c r="H357" s="23" t="s">
        <v>226</v>
      </c>
      <c r="I357" s="22" t="s">
        <v>18</v>
      </c>
      <c r="J357" s="22" t="s">
        <v>18</v>
      </c>
      <c r="K357" s="22" t="s">
        <v>36</v>
      </c>
      <c r="L357" s="22">
        <v>0.93</v>
      </c>
      <c r="M357" s="22" t="s">
        <v>227</v>
      </c>
      <c r="N357" s="22"/>
      <c r="O357" s="18" t="s">
        <v>732</v>
      </c>
      <c r="P357" s="18" t="s">
        <v>732</v>
      </c>
      <c r="Q357" s="18" t="s">
        <v>732</v>
      </c>
    </row>
    <row r="358" spans="1:17" s="18" customFormat="1" ht="12.75">
      <c r="A358" s="96"/>
      <c r="B358" s="22" t="s">
        <v>75</v>
      </c>
      <c r="C358" s="22" t="s">
        <v>12</v>
      </c>
      <c r="D358" s="22" t="s">
        <v>33</v>
      </c>
      <c r="E358" s="23">
        <v>14.4</v>
      </c>
      <c r="F358" s="22" t="s">
        <v>18</v>
      </c>
      <c r="G358" s="22" t="s">
        <v>14</v>
      </c>
      <c r="H358" s="23" t="s">
        <v>177</v>
      </c>
      <c r="I358" s="22" t="s">
        <v>18</v>
      </c>
      <c r="J358" s="22" t="s">
        <v>18</v>
      </c>
      <c r="K358" s="18" t="s">
        <v>23</v>
      </c>
      <c r="L358" s="22">
        <v>1.25</v>
      </c>
      <c r="M358" s="22" t="s">
        <v>228</v>
      </c>
      <c r="N358" s="22" t="s">
        <v>18</v>
      </c>
      <c r="O358" s="18" t="s">
        <v>732</v>
      </c>
      <c r="P358" s="18" t="s">
        <v>732</v>
      </c>
      <c r="Q358" s="18" t="s">
        <v>732</v>
      </c>
    </row>
    <row r="359" spans="1:17" s="18" customFormat="1" ht="12.75">
      <c r="A359" s="96"/>
      <c r="B359" s="22"/>
      <c r="C359" s="22" t="s">
        <v>18</v>
      </c>
      <c r="D359" s="22"/>
      <c r="E359" s="23"/>
      <c r="F359" s="87" t="s">
        <v>53</v>
      </c>
      <c r="G359" s="22" t="s">
        <v>20</v>
      </c>
      <c r="H359" s="23" t="s">
        <v>180</v>
      </c>
      <c r="I359" s="22" t="s">
        <v>92</v>
      </c>
      <c r="J359" s="22" t="s">
        <v>92</v>
      </c>
      <c r="K359" s="18" t="s">
        <v>183</v>
      </c>
      <c r="L359" s="22">
        <v>1.1399999999999999</v>
      </c>
      <c r="M359" s="22" t="s">
        <v>229</v>
      </c>
      <c r="N359" s="22"/>
      <c r="O359" s="18" t="s">
        <v>732</v>
      </c>
      <c r="P359" s="18" t="s">
        <v>732</v>
      </c>
      <c r="Q359" s="18" t="s">
        <v>732</v>
      </c>
    </row>
    <row r="360" spans="1:17" s="18" customFormat="1" ht="12.75">
      <c r="A360" s="96"/>
      <c r="B360" s="22"/>
      <c r="C360" s="22"/>
      <c r="D360" s="22"/>
      <c r="E360" s="23"/>
      <c r="F360" s="46" t="s">
        <v>53</v>
      </c>
      <c r="G360" s="22" t="s">
        <v>22</v>
      </c>
      <c r="H360" s="23" t="s">
        <v>182</v>
      </c>
      <c r="I360" s="22" t="s">
        <v>92</v>
      </c>
      <c r="J360" s="22" t="s">
        <v>92</v>
      </c>
      <c r="K360" s="18" t="s">
        <v>183</v>
      </c>
      <c r="L360" s="22">
        <v>1</v>
      </c>
      <c r="M360" s="22" t="s">
        <v>37</v>
      </c>
      <c r="N360" s="22"/>
      <c r="O360" s="18" t="s">
        <v>732</v>
      </c>
      <c r="P360" s="18" t="s">
        <v>732</v>
      </c>
      <c r="Q360" s="18" t="s">
        <v>732</v>
      </c>
    </row>
    <row r="361" spans="1:17" s="18" customFormat="1" ht="12.75">
      <c r="A361" s="96"/>
      <c r="B361" s="22"/>
      <c r="C361" s="22"/>
      <c r="D361" s="22"/>
      <c r="E361" s="23"/>
      <c r="F361" s="46" t="s">
        <v>53</v>
      </c>
      <c r="G361" s="22" t="s">
        <v>25</v>
      </c>
      <c r="H361" s="23" t="s">
        <v>184</v>
      </c>
      <c r="I361" s="22" t="s">
        <v>18</v>
      </c>
      <c r="J361" s="22" t="s">
        <v>18</v>
      </c>
      <c r="K361" s="18" t="s">
        <v>36</v>
      </c>
      <c r="L361" s="22">
        <v>0.81</v>
      </c>
      <c r="M361" s="22" t="s">
        <v>230</v>
      </c>
      <c r="N361" s="22"/>
      <c r="O361" s="18" t="s">
        <v>732</v>
      </c>
      <c r="P361" s="18" t="s">
        <v>732</v>
      </c>
      <c r="Q361" s="18" t="s">
        <v>732</v>
      </c>
    </row>
    <row r="362" spans="1:17" s="18" customFormat="1" ht="12.75">
      <c r="A362" s="96"/>
      <c r="B362" s="22"/>
      <c r="C362" s="22"/>
      <c r="D362" s="22"/>
      <c r="E362" s="23"/>
      <c r="F362" s="46" t="s">
        <v>53</v>
      </c>
      <c r="G362" s="22" t="s">
        <v>67</v>
      </c>
      <c r="H362" s="23" t="s">
        <v>186</v>
      </c>
      <c r="I362" s="22" t="s">
        <v>92</v>
      </c>
      <c r="J362" s="22" t="s">
        <v>92</v>
      </c>
      <c r="K362" s="18" t="s">
        <v>183</v>
      </c>
      <c r="L362" s="22">
        <v>1.01</v>
      </c>
      <c r="M362" s="22" t="s">
        <v>231</v>
      </c>
      <c r="N362" s="22"/>
      <c r="O362" s="18" t="s">
        <v>732</v>
      </c>
      <c r="P362" s="18" t="s">
        <v>732</v>
      </c>
      <c r="Q362" s="18" t="s">
        <v>732</v>
      </c>
    </row>
    <row r="363" spans="1:17" s="18" customFormat="1" ht="12.75">
      <c r="A363" s="96"/>
      <c r="B363" s="22" t="s">
        <v>232</v>
      </c>
      <c r="C363" s="22" t="s">
        <v>27</v>
      </c>
      <c r="D363" s="22" t="s">
        <v>233</v>
      </c>
      <c r="E363" s="23">
        <v>14.4</v>
      </c>
      <c r="F363" s="46" t="s">
        <v>53</v>
      </c>
      <c r="G363" s="22" t="s">
        <v>14</v>
      </c>
      <c r="H363" s="23" t="s">
        <v>177</v>
      </c>
      <c r="I363" s="22" t="s">
        <v>218</v>
      </c>
      <c r="J363" s="22" t="s">
        <v>218</v>
      </c>
      <c r="K363" s="18" t="s">
        <v>219</v>
      </c>
      <c r="L363" s="22">
        <v>1.05</v>
      </c>
      <c r="M363" s="22" t="s">
        <v>234</v>
      </c>
      <c r="N363" s="22" t="s">
        <v>18</v>
      </c>
      <c r="O363" s="18" t="s">
        <v>732</v>
      </c>
      <c r="P363" s="18" t="s">
        <v>732</v>
      </c>
      <c r="Q363" s="18" t="s">
        <v>732</v>
      </c>
    </row>
    <row r="364" spans="1:17" s="18" customFormat="1" ht="12.75">
      <c r="A364" s="96"/>
      <c r="B364" s="22"/>
      <c r="C364" s="22" t="s">
        <v>18</v>
      </c>
      <c r="D364" s="22"/>
      <c r="E364" s="23"/>
      <c r="F364" s="46" t="s">
        <v>53</v>
      </c>
      <c r="G364" s="22" t="s">
        <v>20</v>
      </c>
      <c r="H364" s="23" t="s">
        <v>180</v>
      </c>
      <c r="I364" s="22" t="s">
        <v>92</v>
      </c>
      <c r="J364" s="22" t="s">
        <v>92</v>
      </c>
      <c r="K364" s="18" t="s">
        <v>183</v>
      </c>
      <c r="L364" s="22">
        <v>1.03</v>
      </c>
      <c r="M364" s="22" t="s">
        <v>235</v>
      </c>
      <c r="N364" s="22"/>
      <c r="O364" s="18" t="s">
        <v>732</v>
      </c>
      <c r="P364" s="18" t="s">
        <v>732</v>
      </c>
      <c r="Q364" s="18" t="s">
        <v>732</v>
      </c>
    </row>
    <row r="365" spans="1:17" s="18" customFormat="1" ht="12.75">
      <c r="A365" s="96"/>
      <c r="B365" s="22"/>
      <c r="C365" s="22"/>
      <c r="D365" s="22"/>
      <c r="E365" s="23"/>
      <c r="F365" s="87" t="s">
        <v>53</v>
      </c>
      <c r="G365" s="22" t="s">
        <v>22</v>
      </c>
      <c r="H365" s="23" t="s">
        <v>182</v>
      </c>
      <c r="I365" s="22" t="s">
        <v>92</v>
      </c>
      <c r="J365" s="22" t="s">
        <v>92</v>
      </c>
      <c r="K365" s="18" t="s">
        <v>183</v>
      </c>
      <c r="L365" s="22">
        <v>1</v>
      </c>
      <c r="M365" s="22" t="s">
        <v>37</v>
      </c>
      <c r="N365" s="22"/>
      <c r="O365" s="18" t="s">
        <v>732</v>
      </c>
      <c r="P365" s="18" t="s">
        <v>732</v>
      </c>
      <c r="Q365" s="18" t="s">
        <v>732</v>
      </c>
    </row>
    <row r="366" spans="1:17" s="18" customFormat="1" ht="12.75">
      <c r="A366" s="96"/>
      <c r="B366" s="22"/>
      <c r="C366" s="22"/>
      <c r="D366" s="22"/>
      <c r="E366" s="23"/>
      <c r="F366" s="46" t="s">
        <v>53</v>
      </c>
      <c r="G366" s="22" t="s">
        <v>25</v>
      </c>
      <c r="H366" s="23" t="s">
        <v>184</v>
      </c>
      <c r="I366" s="22" t="s">
        <v>18</v>
      </c>
      <c r="J366" s="22" t="s">
        <v>18</v>
      </c>
      <c r="K366" s="18" t="s">
        <v>36</v>
      </c>
      <c r="L366" s="22">
        <v>0.49</v>
      </c>
      <c r="M366" s="22" t="s">
        <v>236</v>
      </c>
      <c r="N366" s="22"/>
      <c r="O366" s="18" t="s">
        <v>732</v>
      </c>
      <c r="P366" s="18" t="s">
        <v>732</v>
      </c>
      <c r="Q366" s="18" t="s">
        <v>732</v>
      </c>
    </row>
    <row r="367" spans="1:17" s="18" customFormat="1" ht="12.75">
      <c r="A367" s="96"/>
      <c r="B367" s="22"/>
      <c r="C367" s="22"/>
      <c r="D367" s="22"/>
      <c r="E367" s="23"/>
      <c r="F367" s="46" t="s">
        <v>53</v>
      </c>
      <c r="G367" s="22" t="s">
        <v>67</v>
      </c>
      <c r="H367" s="23" t="s">
        <v>186</v>
      </c>
      <c r="I367" s="22" t="s">
        <v>92</v>
      </c>
      <c r="J367" s="22" t="s">
        <v>92</v>
      </c>
      <c r="K367" s="18" t="s">
        <v>183</v>
      </c>
      <c r="L367" s="22">
        <v>0.98</v>
      </c>
      <c r="M367" s="22" t="s">
        <v>237</v>
      </c>
      <c r="N367" s="22"/>
      <c r="O367" s="18" t="s">
        <v>732</v>
      </c>
      <c r="P367" s="18" t="s">
        <v>732</v>
      </c>
      <c r="Q367" s="18" t="s">
        <v>732</v>
      </c>
    </row>
    <row r="368" spans="1:17" s="18" customFormat="1" ht="12.75">
      <c r="A368" s="96"/>
      <c r="B368" s="22" t="s">
        <v>232</v>
      </c>
      <c r="C368" s="22" t="s">
        <v>32</v>
      </c>
      <c r="D368" s="22" t="s">
        <v>193</v>
      </c>
      <c r="E368" s="23">
        <v>14.4</v>
      </c>
      <c r="F368" s="46" t="s">
        <v>53</v>
      </c>
      <c r="G368" s="22" t="s">
        <v>69</v>
      </c>
      <c r="H368" s="23" t="s">
        <v>194</v>
      </c>
      <c r="I368" s="22" t="s">
        <v>195</v>
      </c>
      <c r="J368" s="22" t="s">
        <v>195</v>
      </c>
      <c r="K368" s="18" t="s">
        <v>23</v>
      </c>
      <c r="L368" s="22">
        <v>1.23</v>
      </c>
      <c r="M368" s="22" t="s">
        <v>238</v>
      </c>
      <c r="N368" s="22" t="s">
        <v>18</v>
      </c>
      <c r="O368" s="18" t="s">
        <v>732</v>
      </c>
      <c r="P368" s="18" t="s">
        <v>732</v>
      </c>
      <c r="Q368" s="18" t="s">
        <v>732</v>
      </c>
    </row>
    <row r="369" spans="1:17" s="18" customFormat="1" ht="12.75">
      <c r="A369" s="96"/>
      <c r="B369" s="22"/>
      <c r="C369" s="22" t="s">
        <v>18</v>
      </c>
      <c r="D369" s="22"/>
      <c r="E369" s="23"/>
      <c r="F369" s="46" t="s">
        <v>53</v>
      </c>
      <c r="G369" s="22" t="s">
        <v>197</v>
      </c>
      <c r="H369" s="23" t="s">
        <v>198</v>
      </c>
      <c r="I369" s="22" t="s">
        <v>92</v>
      </c>
      <c r="J369" s="22" t="s">
        <v>92</v>
      </c>
      <c r="K369" s="18" t="s">
        <v>183</v>
      </c>
      <c r="L369" s="22">
        <v>1.06</v>
      </c>
      <c r="M369" s="22" t="s">
        <v>239</v>
      </c>
      <c r="N369" s="22"/>
      <c r="O369" s="18" t="s">
        <v>732</v>
      </c>
      <c r="P369" s="18" t="s">
        <v>732</v>
      </c>
      <c r="Q369" s="18" t="s">
        <v>732</v>
      </c>
    </row>
    <row r="370" spans="1:17" s="18" customFormat="1" ht="12.75">
      <c r="A370" s="96"/>
      <c r="B370" s="22"/>
      <c r="C370" s="22"/>
      <c r="D370" s="22"/>
      <c r="E370" s="23"/>
      <c r="F370" s="46" t="s">
        <v>53</v>
      </c>
      <c r="G370" s="22" t="s">
        <v>207</v>
      </c>
      <c r="H370" s="23" t="s">
        <v>201</v>
      </c>
      <c r="I370" s="22" t="s">
        <v>92</v>
      </c>
      <c r="J370" s="22" t="s">
        <v>92</v>
      </c>
      <c r="K370" s="18" t="s">
        <v>183</v>
      </c>
      <c r="L370" s="22">
        <v>1</v>
      </c>
      <c r="M370" s="22" t="s">
        <v>37</v>
      </c>
      <c r="N370" s="22"/>
      <c r="O370" s="18" t="s">
        <v>732</v>
      </c>
      <c r="P370" s="18" t="s">
        <v>732</v>
      </c>
      <c r="Q370" s="18" t="s">
        <v>732</v>
      </c>
    </row>
    <row r="371" spans="1:17" s="18" customFormat="1" ht="12.75">
      <c r="A371" s="96"/>
      <c r="B371" s="22"/>
      <c r="C371" s="22"/>
      <c r="D371" s="22"/>
      <c r="E371" s="23"/>
      <c r="F371" s="87" t="s">
        <v>53</v>
      </c>
      <c r="G371" s="22" t="s">
        <v>202</v>
      </c>
      <c r="H371" s="23" t="s">
        <v>203</v>
      </c>
      <c r="I371" s="22" t="s">
        <v>18</v>
      </c>
      <c r="J371" s="22" t="s">
        <v>18</v>
      </c>
      <c r="K371" s="18" t="s">
        <v>36</v>
      </c>
      <c r="L371" s="22">
        <v>0.78</v>
      </c>
      <c r="M371" s="22" t="s">
        <v>240</v>
      </c>
      <c r="N371" s="22"/>
      <c r="O371" s="18" t="s">
        <v>732</v>
      </c>
      <c r="P371" s="18" t="s">
        <v>732</v>
      </c>
      <c r="Q371" s="18" t="s">
        <v>732</v>
      </c>
    </row>
    <row r="372" spans="1:17" s="18" customFormat="1" ht="12.75">
      <c r="A372" s="96"/>
      <c r="B372" s="22" t="s">
        <v>232</v>
      </c>
      <c r="C372" s="22" t="s">
        <v>27</v>
      </c>
      <c r="D372" s="22" t="s">
        <v>193</v>
      </c>
      <c r="E372" s="23">
        <v>14.4</v>
      </c>
      <c r="F372" s="46" t="s">
        <v>53</v>
      </c>
      <c r="G372" s="22" t="s">
        <v>69</v>
      </c>
      <c r="H372" s="23" t="s">
        <v>194</v>
      </c>
      <c r="I372" s="22" t="s">
        <v>195</v>
      </c>
      <c r="J372" s="22" t="s">
        <v>195</v>
      </c>
      <c r="K372" s="18" t="s">
        <v>23</v>
      </c>
      <c r="L372" s="22">
        <v>1.1299999999999999</v>
      </c>
      <c r="M372" s="22" t="s">
        <v>241</v>
      </c>
      <c r="N372" s="22" t="s">
        <v>92</v>
      </c>
      <c r="O372" s="18" t="s">
        <v>732</v>
      </c>
      <c r="P372" s="18" t="s">
        <v>732</v>
      </c>
      <c r="Q372" s="18" t="s">
        <v>732</v>
      </c>
    </row>
    <row r="373" spans="1:17" s="18" customFormat="1" ht="12.75">
      <c r="A373" s="96"/>
      <c r="B373" s="22"/>
      <c r="C373" s="22" t="s">
        <v>18</v>
      </c>
      <c r="D373" s="22"/>
      <c r="E373" s="23"/>
      <c r="F373" s="46" t="s">
        <v>53</v>
      </c>
      <c r="G373" s="22" t="s">
        <v>197</v>
      </c>
      <c r="H373" s="23" t="s">
        <v>198</v>
      </c>
      <c r="I373" s="22" t="s">
        <v>92</v>
      </c>
      <c r="J373" s="22" t="s">
        <v>92</v>
      </c>
      <c r="K373" s="18" t="s">
        <v>183</v>
      </c>
      <c r="L373" s="22">
        <v>0.99</v>
      </c>
      <c r="M373" s="22" t="s">
        <v>242</v>
      </c>
      <c r="N373" s="22"/>
      <c r="O373" s="18" t="s">
        <v>732</v>
      </c>
      <c r="P373" s="18" t="s">
        <v>732</v>
      </c>
      <c r="Q373" s="18" t="s">
        <v>732</v>
      </c>
    </row>
    <row r="374" spans="1:17" s="18" customFormat="1" ht="12.75">
      <c r="A374" s="96"/>
      <c r="B374" s="22"/>
      <c r="C374" s="22"/>
      <c r="D374" s="22"/>
      <c r="E374" s="23"/>
      <c r="F374" s="46" t="s">
        <v>53</v>
      </c>
      <c r="G374" s="22" t="s">
        <v>207</v>
      </c>
      <c r="H374" s="23" t="s">
        <v>201</v>
      </c>
      <c r="I374" s="22" t="s">
        <v>92</v>
      </c>
      <c r="J374" s="22" t="s">
        <v>92</v>
      </c>
      <c r="K374" s="18" t="s">
        <v>183</v>
      </c>
      <c r="L374" s="22">
        <v>1</v>
      </c>
      <c r="M374" s="22" t="s">
        <v>37</v>
      </c>
      <c r="N374" s="22"/>
      <c r="O374" s="57" t="s">
        <v>731</v>
      </c>
      <c r="P374" s="57" t="s">
        <v>731</v>
      </c>
      <c r="Q374" s="57" t="s">
        <v>731</v>
      </c>
    </row>
    <row r="375" spans="1:17" s="18" customFormat="1" ht="12.75">
      <c r="A375" s="96"/>
      <c r="B375" s="22"/>
      <c r="C375" s="22"/>
      <c r="D375" s="22"/>
      <c r="E375" s="23"/>
      <c r="F375" s="46" t="s">
        <v>53</v>
      </c>
      <c r="G375" s="22" t="s">
        <v>202</v>
      </c>
      <c r="H375" s="23" t="s">
        <v>203</v>
      </c>
      <c r="I375" s="22" t="s">
        <v>18</v>
      </c>
      <c r="J375" s="22" t="s">
        <v>18</v>
      </c>
      <c r="K375" s="18" t="s">
        <v>36</v>
      </c>
      <c r="L375" s="22">
        <v>0.6</v>
      </c>
      <c r="M375" s="22" t="s">
        <v>243</v>
      </c>
      <c r="N375" s="22"/>
      <c r="O375" s="57" t="s">
        <v>731</v>
      </c>
      <c r="P375" s="57" t="s">
        <v>731</v>
      </c>
      <c r="Q375" s="57" t="s">
        <v>731</v>
      </c>
    </row>
    <row r="376" spans="1:17" s="18" customFormat="1" ht="12.75">
      <c r="A376" s="96"/>
      <c r="B376" s="22" t="s">
        <v>232</v>
      </c>
      <c r="C376" s="22" t="s">
        <v>32</v>
      </c>
      <c r="D376" s="22" t="s">
        <v>331</v>
      </c>
      <c r="E376" s="23">
        <v>14.4</v>
      </c>
      <c r="F376" s="46" t="s">
        <v>53</v>
      </c>
      <c r="G376" s="22" t="s">
        <v>69</v>
      </c>
      <c r="H376" s="88">
        <v>0</v>
      </c>
      <c r="I376" s="22" t="s">
        <v>195</v>
      </c>
      <c r="J376" s="22" t="s">
        <v>195</v>
      </c>
      <c r="K376" s="18" t="s">
        <v>23</v>
      </c>
      <c r="L376" s="22">
        <v>1</v>
      </c>
      <c r="M376" s="22" t="s">
        <v>116</v>
      </c>
      <c r="N376" s="22" t="s">
        <v>18</v>
      </c>
      <c r="O376" s="57" t="s">
        <v>731</v>
      </c>
      <c r="P376" s="57" t="s">
        <v>731</v>
      </c>
      <c r="Q376" s="57" t="s">
        <v>731</v>
      </c>
    </row>
    <row r="377" spans="1:17" s="18" customFormat="1" ht="12.75">
      <c r="A377" s="96"/>
      <c r="B377" s="22"/>
      <c r="C377" s="22" t="s">
        <v>18</v>
      </c>
      <c r="D377" s="22"/>
      <c r="E377" s="23"/>
      <c r="F377" s="46" t="s">
        <v>53</v>
      </c>
      <c r="G377" s="22" t="s">
        <v>209</v>
      </c>
      <c r="H377" s="88" t="s">
        <v>210</v>
      </c>
      <c r="I377" s="22" t="s">
        <v>18</v>
      </c>
      <c r="J377" s="22" t="s">
        <v>18</v>
      </c>
      <c r="K377" s="18" t="s">
        <v>36</v>
      </c>
      <c r="L377" s="22">
        <v>0.78</v>
      </c>
      <c r="M377" s="22" t="s">
        <v>244</v>
      </c>
      <c r="N377" s="22"/>
      <c r="O377" s="57" t="s">
        <v>731</v>
      </c>
      <c r="P377" s="57" t="s">
        <v>731</v>
      </c>
      <c r="Q377" s="57" t="s">
        <v>731</v>
      </c>
    </row>
    <row r="378" spans="1:17" s="18" customFormat="1" ht="12.75">
      <c r="A378" s="96"/>
      <c r="B378" s="22"/>
      <c r="C378" s="22"/>
      <c r="D378" s="22"/>
      <c r="E378" s="23"/>
      <c r="F378" s="46" t="s">
        <v>53</v>
      </c>
      <c r="G378" s="22" t="s">
        <v>207</v>
      </c>
      <c r="H378" s="88" t="s">
        <v>212</v>
      </c>
      <c r="I378" s="22" t="s">
        <v>92</v>
      </c>
      <c r="J378" s="22" t="s">
        <v>92</v>
      </c>
      <c r="K378" s="22" t="s">
        <v>183</v>
      </c>
      <c r="L378" s="22">
        <v>0.89</v>
      </c>
      <c r="M378" s="22" t="s">
        <v>245</v>
      </c>
      <c r="N378" s="22"/>
      <c r="O378" s="57" t="s">
        <v>731</v>
      </c>
      <c r="P378" s="57" t="s">
        <v>731</v>
      </c>
      <c r="Q378" s="57" t="s">
        <v>731</v>
      </c>
    </row>
    <row r="379" spans="1:17" s="18" customFormat="1" ht="12.75">
      <c r="A379" s="96"/>
      <c r="B379" s="22"/>
      <c r="C379" s="22"/>
      <c r="D379" s="22"/>
      <c r="E379" s="23"/>
      <c r="F379" s="46" t="s">
        <v>53</v>
      </c>
      <c r="G379" s="22" t="s">
        <v>214</v>
      </c>
      <c r="H379" s="88" t="s">
        <v>215</v>
      </c>
      <c r="I379" s="22" t="s">
        <v>92</v>
      </c>
      <c r="J379" s="22" t="s">
        <v>92</v>
      </c>
      <c r="K379" s="22" t="s">
        <v>183</v>
      </c>
      <c r="L379" s="22">
        <v>1.44</v>
      </c>
      <c r="M379" s="22" t="s">
        <v>246</v>
      </c>
      <c r="N379" s="22"/>
      <c r="O379" s="57" t="s">
        <v>731</v>
      </c>
      <c r="P379" s="57" t="s">
        <v>731</v>
      </c>
      <c r="Q379" s="57" t="s">
        <v>731</v>
      </c>
    </row>
    <row r="380" spans="1:17" s="18" customFormat="1" ht="12.75">
      <c r="A380" s="96"/>
      <c r="B380" s="22" t="s">
        <v>232</v>
      </c>
      <c r="C380" s="22" t="s">
        <v>27</v>
      </c>
      <c r="D380" s="22" t="s">
        <v>331</v>
      </c>
      <c r="E380" s="23">
        <v>14.4</v>
      </c>
      <c r="F380" s="87" t="s">
        <v>53</v>
      </c>
      <c r="G380" s="22" t="s">
        <v>69</v>
      </c>
      <c r="H380" s="88">
        <v>0</v>
      </c>
      <c r="I380" s="22" t="s">
        <v>195</v>
      </c>
      <c r="J380" s="22" t="s">
        <v>195</v>
      </c>
      <c r="K380" s="22" t="s">
        <v>23</v>
      </c>
      <c r="L380" s="22">
        <v>1</v>
      </c>
      <c r="M380" s="22" t="s">
        <v>116</v>
      </c>
      <c r="N380" s="22" t="s">
        <v>18</v>
      </c>
      <c r="O380" s="57" t="s">
        <v>731</v>
      </c>
      <c r="P380" s="57" t="s">
        <v>731</v>
      </c>
      <c r="Q380" s="57" t="s">
        <v>731</v>
      </c>
    </row>
    <row r="381" spans="1:17" s="18" customFormat="1" ht="12.75">
      <c r="A381" s="96"/>
      <c r="B381" s="22"/>
      <c r="C381" s="22" t="s">
        <v>18</v>
      </c>
      <c r="D381" s="22"/>
      <c r="E381" s="23"/>
      <c r="F381" s="46" t="s">
        <v>53</v>
      </c>
      <c r="G381" s="22" t="s">
        <v>209</v>
      </c>
      <c r="H381" s="88" t="s">
        <v>210</v>
      </c>
      <c r="I381" s="22" t="s">
        <v>18</v>
      </c>
      <c r="J381" s="22" t="s">
        <v>18</v>
      </c>
      <c r="K381" s="22" t="s">
        <v>36</v>
      </c>
      <c r="L381" s="22">
        <v>0.75</v>
      </c>
      <c r="M381" s="22" t="s">
        <v>247</v>
      </c>
      <c r="N381" s="22"/>
      <c r="O381" s="57" t="s">
        <v>731</v>
      </c>
      <c r="P381" s="57" t="s">
        <v>731</v>
      </c>
      <c r="Q381" s="57" t="s">
        <v>731</v>
      </c>
    </row>
    <row r="382" spans="1:17" s="18" customFormat="1" ht="12.75">
      <c r="A382" s="96"/>
      <c r="B382" s="22"/>
      <c r="C382" s="22"/>
      <c r="D382" s="22"/>
      <c r="E382" s="23"/>
      <c r="F382" s="46" t="s">
        <v>53</v>
      </c>
      <c r="G382" s="22" t="s">
        <v>207</v>
      </c>
      <c r="H382" s="88" t="s">
        <v>212</v>
      </c>
      <c r="I382" s="22" t="s">
        <v>92</v>
      </c>
      <c r="J382" s="22" t="s">
        <v>92</v>
      </c>
      <c r="K382" s="22" t="s">
        <v>183</v>
      </c>
      <c r="L382" s="22">
        <v>1.01</v>
      </c>
      <c r="M382" s="22" t="s">
        <v>248</v>
      </c>
      <c r="N382" s="22"/>
      <c r="O382" s="57" t="s">
        <v>731</v>
      </c>
      <c r="P382" s="57" t="s">
        <v>731</v>
      </c>
      <c r="Q382" s="57" t="s">
        <v>731</v>
      </c>
    </row>
    <row r="383" spans="1:17" s="18" customFormat="1" ht="12.75">
      <c r="A383" s="96"/>
      <c r="B383" s="22"/>
      <c r="C383" s="22"/>
      <c r="D383" s="22"/>
      <c r="E383" s="23"/>
      <c r="F383" s="22" t="s">
        <v>92</v>
      </c>
      <c r="G383" s="22" t="s">
        <v>214</v>
      </c>
      <c r="H383" s="88" t="s">
        <v>215</v>
      </c>
      <c r="I383" s="22" t="s">
        <v>92</v>
      </c>
      <c r="J383" s="22" t="s">
        <v>92</v>
      </c>
      <c r="K383" s="22" t="s">
        <v>183</v>
      </c>
      <c r="L383" s="22">
        <v>0.91</v>
      </c>
      <c r="M383" s="22" t="s">
        <v>249</v>
      </c>
      <c r="N383" s="22"/>
      <c r="O383" s="57" t="s">
        <v>731</v>
      </c>
      <c r="P383" s="57" t="s">
        <v>731</v>
      </c>
      <c r="Q383" s="57" t="s">
        <v>731</v>
      </c>
    </row>
    <row r="384" spans="1:17" s="18" customFormat="1" ht="12.75">
      <c r="A384" s="96"/>
      <c r="B384" s="22" t="s">
        <v>329</v>
      </c>
      <c r="C384" s="22" t="s">
        <v>250</v>
      </c>
      <c r="D384" s="22" t="s">
        <v>33</v>
      </c>
      <c r="E384" s="23">
        <v>14.4</v>
      </c>
      <c r="F384" s="22" t="s">
        <v>18</v>
      </c>
      <c r="G384" s="22" t="s">
        <v>14</v>
      </c>
      <c r="H384" s="23" t="s">
        <v>177</v>
      </c>
      <c r="I384" s="48">
        <f>0.4286*1870</f>
        <v>801.48199999999997</v>
      </c>
      <c r="J384" s="22" t="s">
        <v>18</v>
      </c>
      <c r="K384" s="18" t="s">
        <v>23</v>
      </c>
      <c r="L384" s="22">
        <v>1.07</v>
      </c>
      <c r="M384" s="22" t="s">
        <v>251</v>
      </c>
      <c r="N384" s="22" t="s">
        <v>179</v>
      </c>
      <c r="O384" s="54">
        <v>72.335999999999999</v>
      </c>
      <c r="P384" s="57" t="s">
        <v>731</v>
      </c>
      <c r="Q384" s="55">
        <v>9709.0400000000009</v>
      </c>
    </row>
    <row r="385" spans="1:17" s="18" customFormat="1" ht="12.75">
      <c r="A385" s="96"/>
      <c r="B385" s="22"/>
      <c r="C385" s="22" t="s">
        <v>252</v>
      </c>
      <c r="D385" s="22"/>
      <c r="E385" s="23"/>
      <c r="F385" s="22" t="s">
        <v>18</v>
      </c>
      <c r="G385" s="22" t="s">
        <v>20</v>
      </c>
      <c r="H385" s="23" t="s">
        <v>253</v>
      </c>
      <c r="I385" s="48">
        <f>0.354*1870</f>
        <v>661.98</v>
      </c>
      <c r="J385" s="22" t="s">
        <v>18</v>
      </c>
      <c r="K385" s="18" t="s">
        <v>36</v>
      </c>
      <c r="L385" s="22">
        <v>1.07</v>
      </c>
      <c r="M385" s="22" t="s">
        <v>254</v>
      </c>
      <c r="N385" s="22"/>
      <c r="O385" s="54">
        <v>331.47199999999998</v>
      </c>
      <c r="P385" s="57" t="s">
        <v>731</v>
      </c>
      <c r="Q385" s="55">
        <v>44490.720000000001</v>
      </c>
    </row>
    <row r="386" spans="1:17" s="18" customFormat="1" ht="12.75">
      <c r="A386" s="96"/>
      <c r="B386" s="22"/>
      <c r="C386" s="89">
        <f>1870/18714</f>
        <v>9.9925189697552638E-2</v>
      </c>
      <c r="D386" s="24"/>
      <c r="E386" s="90"/>
      <c r="F386" s="91" t="s">
        <v>53</v>
      </c>
      <c r="G386" s="22" t="s">
        <v>22</v>
      </c>
      <c r="H386" s="23" t="s">
        <v>255</v>
      </c>
      <c r="I386" s="48">
        <f>0.10764*1870</f>
        <v>201.2868</v>
      </c>
      <c r="J386" s="22" t="s">
        <v>92</v>
      </c>
      <c r="K386" s="18" t="s">
        <v>23</v>
      </c>
      <c r="L386" s="22">
        <v>1</v>
      </c>
      <c r="M386" s="22" t="s">
        <v>37</v>
      </c>
      <c r="N386" s="22"/>
      <c r="O386" s="54">
        <v>67.834000000000003</v>
      </c>
      <c r="P386" s="57" t="s">
        <v>731</v>
      </c>
      <c r="Q386" s="55">
        <v>9742.07</v>
      </c>
    </row>
    <row r="387" spans="1:17" s="18" customFormat="1" ht="12.75">
      <c r="A387" s="96"/>
      <c r="B387" s="22"/>
      <c r="C387" s="22"/>
      <c r="D387" s="22"/>
      <c r="E387" s="23"/>
      <c r="F387" s="22" t="s">
        <v>18</v>
      </c>
      <c r="G387" s="22" t="s">
        <v>25</v>
      </c>
      <c r="H387" s="23" t="s">
        <v>184</v>
      </c>
      <c r="I387" s="48">
        <f>0.0809*1870</f>
        <v>151.28299999999999</v>
      </c>
      <c r="J387" s="22" t="s">
        <v>18</v>
      </c>
      <c r="K387" s="18" t="s">
        <v>36</v>
      </c>
      <c r="L387" s="22">
        <v>0.86</v>
      </c>
      <c r="M387" s="22" t="s">
        <v>256</v>
      </c>
      <c r="N387" s="22"/>
      <c r="O387" s="54">
        <v>45.093000000000004</v>
      </c>
      <c r="P387" s="57" t="s">
        <v>731</v>
      </c>
      <c r="Q387" s="55">
        <v>7530.35</v>
      </c>
    </row>
    <row r="388" spans="1:17" s="18" customFormat="1" ht="12.75">
      <c r="A388" s="96"/>
      <c r="B388" s="22"/>
      <c r="C388" s="22"/>
      <c r="D388" s="22"/>
      <c r="E388" s="23"/>
      <c r="F388" s="22" t="s">
        <v>92</v>
      </c>
      <c r="G388" s="22" t="s">
        <v>67</v>
      </c>
      <c r="H388" s="23" t="s">
        <v>186</v>
      </c>
      <c r="I388" s="48">
        <f>0.0287*1870</f>
        <v>53.668999999999997</v>
      </c>
      <c r="J388" s="22" t="s">
        <v>18</v>
      </c>
      <c r="K388" s="18" t="s">
        <v>183</v>
      </c>
      <c r="L388" s="22">
        <v>1.01</v>
      </c>
      <c r="M388" s="22" t="s">
        <v>257</v>
      </c>
      <c r="N388" s="22"/>
      <c r="O388" s="54">
        <v>10.023999999999999</v>
      </c>
      <c r="P388" s="57" t="s">
        <v>731</v>
      </c>
      <c r="Q388" s="55">
        <v>1425.39</v>
      </c>
    </row>
    <row r="389" spans="1:17" s="18" customFormat="1" ht="12.75">
      <c r="A389" s="96"/>
      <c r="B389" s="22" t="s">
        <v>329</v>
      </c>
      <c r="C389" s="22" t="s">
        <v>258</v>
      </c>
      <c r="D389" s="22" t="s">
        <v>33</v>
      </c>
      <c r="E389" s="23">
        <v>14.4</v>
      </c>
      <c r="F389" s="22" t="s">
        <v>92</v>
      </c>
      <c r="G389" s="22" t="s">
        <v>14</v>
      </c>
      <c r="H389" s="23" t="s">
        <v>177</v>
      </c>
      <c r="I389" s="48">
        <f>0.4244*1006</f>
        <v>426.94639999999998</v>
      </c>
      <c r="J389" s="22" t="s">
        <v>18</v>
      </c>
      <c r="K389" s="18" t="s">
        <v>183</v>
      </c>
      <c r="L389" s="22">
        <v>1.07</v>
      </c>
      <c r="M389" s="22" t="s">
        <v>259</v>
      </c>
      <c r="N389" s="22" t="s">
        <v>18</v>
      </c>
      <c r="O389" s="57" t="s">
        <v>731</v>
      </c>
      <c r="P389" s="57" t="s">
        <v>731</v>
      </c>
      <c r="Q389" s="57" t="s">
        <v>731</v>
      </c>
    </row>
    <row r="390" spans="1:17" s="18" customFormat="1" ht="12.75">
      <c r="A390" s="96"/>
      <c r="B390" s="22"/>
      <c r="C390" s="22" t="s">
        <v>260</v>
      </c>
      <c r="D390" s="22"/>
      <c r="E390" s="90"/>
      <c r="F390" s="22" t="s">
        <v>18</v>
      </c>
      <c r="G390" s="22" t="s">
        <v>20</v>
      </c>
      <c r="H390" s="23" t="s">
        <v>180</v>
      </c>
      <c r="I390" s="48">
        <f>0.3703*1006</f>
        <v>372.52180000000004</v>
      </c>
      <c r="J390" s="22" t="s">
        <v>92</v>
      </c>
      <c r="K390" s="18" t="s">
        <v>36</v>
      </c>
      <c r="L390" s="22">
        <v>1.08</v>
      </c>
      <c r="M390" s="22" t="s">
        <v>261</v>
      </c>
      <c r="N390" s="22"/>
      <c r="O390" s="57" t="s">
        <v>731</v>
      </c>
      <c r="P390" s="57" t="s">
        <v>731</v>
      </c>
      <c r="Q390" s="57" t="s">
        <v>731</v>
      </c>
    </row>
    <row r="391" spans="1:17" s="18" customFormat="1" ht="12.75">
      <c r="A391" s="96"/>
      <c r="B391" s="22"/>
      <c r="C391" s="24">
        <f>1006/18714</f>
        <v>5.3756545901464142E-2</v>
      </c>
      <c r="D391" s="24"/>
      <c r="E391" s="23"/>
      <c r="F391" s="91" t="s">
        <v>18</v>
      </c>
      <c r="G391" s="22" t="s">
        <v>22</v>
      </c>
      <c r="H391" s="23" t="s">
        <v>255</v>
      </c>
      <c r="I391" s="48">
        <f>0.113*1006</f>
        <v>113.678</v>
      </c>
      <c r="J391" s="22" t="s">
        <v>92</v>
      </c>
      <c r="K391" s="18" t="s">
        <v>23</v>
      </c>
      <c r="L391" s="22">
        <v>1</v>
      </c>
      <c r="M391" s="22" t="s">
        <v>37</v>
      </c>
      <c r="N391" s="22"/>
      <c r="O391" s="57" t="s">
        <v>731</v>
      </c>
      <c r="P391" s="57" t="s">
        <v>731</v>
      </c>
      <c r="Q391" s="57" t="s">
        <v>731</v>
      </c>
    </row>
    <row r="392" spans="1:17" s="18" customFormat="1" ht="12.75">
      <c r="A392" s="96"/>
      <c r="B392" s="22"/>
      <c r="C392" s="22"/>
      <c r="D392" s="22"/>
      <c r="E392" s="23"/>
      <c r="F392" s="22" t="s">
        <v>18</v>
      </c>
      <c r="G392" s="22" t="s">
        <v>25</v>
      </c>
      <c r="H392" s="23" t="s">
        <v>184</v>
      </c>
      <c r="I392" s="48">
        <f>0.0602*1006</f>
        <v>60.561199999999999</v>
      </c>
      <c r="J392" s="22" t="s">
        <v>18</v>
      </c>
      <c r="K392" s="18" t="s">
        <v>36</v>
      </c>
      <c r="L392" s="22">
        <v>0.6</v>
      </c>
      <c r="M392" s="22" t="s">
        <v>262</v>
      </c>
      <c r="N392" s="22"/>
      <c r="O392" s="57" t="s">
        <v>731</v>
      </c>
      <c r="P392" s="57" t="s">
        <v>731</v>
      </c>
      <c r="Q392" s="57" t="s">
        <v>731</v>
      </c>
    </row>
    <row r="393" spans="1:17" s="18" customFormat="1" ht="12.75">
      <c r="A393" s="96"/>
      <c r="B393" s="22"/>
      <c r="C393" s="22"/>
      <c r="D393" s="22"/>
      <c r="E393" s="23"/>
      <c r="F393" s="22" t="s">
        <v>92</v>
      </c>
      <c r="G393" s="22" t="s">
        <v>67</v>
      </c>
      <c r="H393" s="23" t="s">
        <v>186</v>
      </c>
      <c r="I393" s="48">
        <f>0.0321*1006</f>
        <v>32.292599999999993</v>
      </c>
      <c r="J393" s="22" t="s">
        <v>92</v>
      </c>
      <c r="K393" s="18" t="s">
        <v>183</v>
      </c>
      <c r="L393" s="22">
        <v>1.07</v>
      </c>
      <c r="M393" s="22" t="s">
        <v>263</v>
      </c>
      <c r="N393" s="22"/>
      <c r="O393" s="57" t="s">
        <v>731</v>
      </c>
      <c r="P393" s="57" t="s">
        <v>731</v>
      </c>
      <c r="Q393" s="57" t="s">
        <v>731</v>
      </c>
    </row>
    <row r="394" spans="1:17" s="18" customFormat="1" ht="12.75">
      <c r="A394" s="96"/>
      <c r="B394" s="22" t="s">
        <v>329</v>
      </c>
      <c r="C394" s="22" t="s">
        <v>333</v>
      </c>
      <c r="D394" s="22" t="s">
        <v>33</v>
      </c>
      <c r="E394" s="23">
        <v>14.4</v>
      </c>
      <c r="F394" s="22" t="s">
        <v>18</v>
      </c>
      <c r="G394" s="22" t="s">
        <v>14</v>
      </c>
      <c r="H394" s="23" t="s">
        <v>177</v>
      </c>
      <c r="I394" s="48">
        <f>0.4029*362</f>
        <v>145.84979999999999</v>
      </c>
      <c r="J394" s="22" t="s">
        <v>195</v>
      </c>
      <c r="K394" s="18" t="s">
        <v>36</v>
      </c>
      <c r="L394" s="22">
        <v>1.3</v>
      </c>
      <c r="M394" s="22" t="s">
        <v>265</v>
      </c>
      <c r="N394" s="22" t="s">
        <v>18</v>
      </c>
      <c r="O394" s="57" t="s">
        <v>731</v>
      </c>
      <c r="P394" s="57" t="s">
        <v>731</v>
      </c>
      <c r="Q394" s="57" t="s">
        <v>731</v>
      </c>
    </row>
    <row r="395" spans="1:17" s="18" customFormat="1" ht="12.75">
      <c r="A395" s="96"/>
      <c r="B395" s="22"/>
      <c r="C395" s="22" t="s">
        <v>394</v>
      </c>
      <c r="D395" s="22"/>
      <c r="E395" s="23"/>
      <c r="F395" s="22" t="s">
        <v>18</v>
      </c>
      <c r="G395" s="22" t="s">
        <v>20</v>
      </c>
      <c r="H395" s="23" t="s">
        <v>253</v>
      </c>
      <c r="I395" s="48">
        <f>0.3832*362</f>
        <v>138.7184</v>
      </c>
      <c r="J395" s="22" t="s">
        <v>18</v>
      </c>
      <c r="K395" s="18" t="s">
        <v>23</v>
      </c>
      <c r="L395" s="22">
        <v>1.34</v>
      </c>
      <c r="M395" s="22" t="s">
        <v>266</v>
      </c>
      <c r="N395" s="22"/>
      <c r="O395" s="57" t="s">
        <v>731</v>
      </c>
      <c r="P395" s="57" t="s">
        <v>731</v>
      </c>
      <c r="Q395" s="57" t="s">
        <v>731</v>
      </c>
    </row>
    <row r="396" spans="1:17" s="18" customFormat="1" ht="12.75">
      <c r="A396" s="96"/>
      <c r="B396" s="22"/>
      <c r="C396" s="27">
        <f>362/18714</f>
        <v>1.9343806775675966E-2</v>
      </c>
      <c r="D396" s="24"/>
      <c r="E396" s="90"/>
      <c r="F396" s="91" t="s">
        <v>18</v>
      </c>
      <c r="G396" s="22" t="s">
        <v>22</v>
      </c>
      <c r="H396" s="23" t="s">
        <v>267</v>
      </c>
      <c r="I396" s="48">
        <f>0.1039*362</f>
        <v>37.611800000000002</v>
      </c>
      <c r="J396" s="22" t="s">
        <v>18</v>
      </c>
      <c r="K396" s="18" t="s">
        <v>36</v>
      </c>
      <c r="L396" s="22">
        <v>1</v>
      </c>
      <c r="M396" s="22" t="s">
        <v>41</v>
      </c>
      <c r="N396" s="22"/>
      <c r="O396" s="57" t="s">
        <v>731</v>
      </c>
      <c r="P396" s="57" t="s">
        <v>731</v>
      </c>
      <c r="Q396" s="57" t="s">
        <v>731</v>
      </c>
    </row>
    <row r="397" spans="1:17" s="18" customFormat="1" ht="12.75">
      <c r="A397" s="96"/>
      <c r="B397" s="22"/>
      <c r="C397" s="22"/>
      <c r="D397" s="22"/>
      <c r="E397" s="23"/>
      <c r="F397" s="22" t="s">
        <v>18</v>
      </c>
      <c r="G397" s="22" t="s">
        <v>25</v>
      </c>
      <c r="H397" s="23" t="s">
        <v>184</v>
      </c>
      <c r="I397" s="48">
        <f>0.0853*362</f>
        <v>30.878599999999999</v>
      </c>
      <c r="J397" s="22" t="s">
        <v>18</v>
      </c>
      <c r="K397" s="18" t="s">
        <v>36</v>
      </c>
      <c r="L397" s="22">
        <v>0.91</v>
      </c>
      <c r="M397" s="22" t="s">
        <v>268</v>
      </c>
      <c r="N397" s="22"/>
      <c r="O397" s="57" t="s">
        <v>731</v>
      </c>
      <c r="P397" s="57" t="s">
        <v>731</v>
      </c>
      <c r="Q397" s="57" t="s">
        <v>731</v>
      </c>
    </row>
    <row r="398" spans="1:17" s="18" customFormat="1" ht="12.75">
      <c r="A398" s="96"/>
      <c r="B398" s="22"/>
      <c r="C398" s="22"/>
      <c r="D398" s="22"/>
      <c r="E398" s="23"/>
      <c r="F398" s="22" t="s">
        <v>92</v>
      </c>
      <c r="G398" s="22" t="s">
        <v>67</v>
      </c>
      <c r="H398" s="23" t="s">
        <v>186</v>
      </c>
      <c r="I398" s="48">
        <f>0.0248*362</f>
        <v>8.9775999999999989</v>
      </c>
      <c r="J398" s="22" t="s">
        <v>195</v>
      </c>
      <c r="K398" s="18" t="s">
        <v>183</v>
      </c>
      <c r="L398" s="22">
        <v>0.82</v>
      </c>
      <c r="M398" s="22" t="s">
        <v>269</v>
      </c>
      <c r="N398" s="22"/>
      <c r="O398" s="57" t="s">
        <v>731</v>
      </c>
      <c r="P398" s="57" t="s">
        <v>731</v>
      </c>
      <c r="Q398" s="57" t="s">
        <v>731</v>
      </c>
    </row>
    <row r="399" spans="1:17" s="18" customFormat="1" ht="12.75">
      <c r="A399" s="96"/>
      <c r="B399" s="22" t="s">
        <v>329</v>
      </c>
      <c r="C399" s="22" t="s">
        <v>270</v>
      </c>
      <c r="D399" s="22" t="s">
        <v>33</v>
      </c>
      <c r="E399" s="23">
        <v>14.4</v>
      </c>
      <c r="F399" s="22" t="s">
        <v>92</v>
      </c>
      <c r="G399" s="22" t="s">
        <v>14</v>
      </c>
      <c r="H399" s="23" t="s">
        <v>177</v>
      </c>
      <c r="I399" s="48">
        <f>0.5126*133</f>
        <v>68.175799999999995</v>
      </c>
      <c r="J399" s="22" t="s">
        <v>92</v>
      </c>
      <c r="K399" s="18" t="s">
        <v>183</v>
      </c>
      <c r="L399" s="22">
        <v>1.89</v>
      </c>
      <c r="M399" s="22" t="s">
        <v>271</v>
      </c>
      <c r="N399" s="22" t="s">
        <v>18</v>
      </c>
      <c r="O399" s="57" t="s">
        <v>731</v>
      </c>
      <c r="P399" s="57" t="s">
        <v>731</v>
      </c>
      <c r="Q399" s="57" t="s">
        <v>731</v>
      </c>
    </row>
    <row r="400" spans="1:17" s="18" customFormat="1" ht="12.75">
      <c r="A400" s="96"/>
      <c r="B400" s="22"/>
      <c r="C400" s="22" t="s">
        <v>272</v>
      </c>
      <c r="D400" s="22"/>
      <c r="E400" s="90"/>
      <c r="F400" s="22" t="s">
        <v>18</v>
      </c>
      <c r="G400" s="22" t="s">
        <v>20</v>
      </c>
      <c r="H400" s="23" t="s">
        <v>253</v>
      </c>
      <c r="I400" s="48">
        <f>0.3022*133</f>
        <v>40.192600000000006</v>
      </c>
      <c r="J400" s="22" t="s">
        <v>92</v>
      </c>
      <c r="K400" s="18" t="s">
        <v>23</v>
      </c>
      <c r="L400" s="22">
        <v>1.54</v>
      </c>
      <c r="M400" s="22" t="s">
        <v>273</v>
      </c>
      <c r="N400" s="22"/>
      <c r="O400" s="57" t="s">
        <v>731</v>
      </c>
      <c r="P400" s="57" t="s">
        <v>731</v>
      </c>
      <c r="Q400" s="57" t="s">
        <v>731</v>
      </c>
    </row>
    <row r="401" spans="1:17" s="18" customFormat="1" ht="12.75">
      <c r="A401" s="96"/>
      <c r="B401" s="22"/>
      <c r="C401" s="25">
        <f>144/18714</f>
        <v>7.6947739660147485E-3</v>
      </c>
      <c r="D401" s="24"/>
      <c r="E401" s="23"/>
      <c r="F401" s="22" t="s">
        <v>274</v>
      </c>
      <c r="G401" s="22" t="s">
        <v>22</v>
      </c>
      <c r="H401" s="23" t="s">
        <v>275</v>
      </c>
      <c r="I401" s="48">
        <f>0.0628*133</f>
        <v>8.3523999999999994</v>
      </c>
      <c r="J401" s="22" t="s">
        <v>18</v>
      </c>
      <c r="K401" s="18" t="s">
        <v>219</v>
      </c>
      <c r="L401" s="22">
        <v>1</v>
      </c>
      <c r="M401" s="22" t="s">
        <v>37</v>
      </c>
      <c r="N401" s="22"/>
      <c r="O401" s="57" t="s">
        <v>731</v>
      </c>
      <c r="P401" s="57" t="s">
        <v>731</v>
      </c>
      <c r="Q401" s="57" t="s">
        <v>731</v>
      </c>
    </row>
    <row r="402" spans="1:17" s="18" customFormat="1" ht="12.75">
      <c r="A402" s="96"/>
      <c r="B402" s="22"/>
      <c r="C402" s="22"/>
      <c r="D402" s="22"/>
      <c r="E402" s="23"/>
      <c r="F402" s="22" t="s">
        <v>18</v>
      </c>
      <c r="G402" s="22" t="s">
        <v>25</v>
      </c>
      <c r="H402" s="23" t="s">
        <v>184</v>
      </c>
      <c r="I402" s="48">
        <f>0.0807*133</f>
        <v>10.733099999999999</v>
      </c>
      <c r="J402" s="22" t="s">
        <v>18</v>
      </c>
      <c r="K402" s="18" t="s">
        <v>36</v>
      </c>
      <c r="L402" s="22">
        <v>1.51</v>
      </c>
      <c r="M402" s="22" t="s">
        <v>276</v>
      </c>
      <c r="N402" s="22"/>
      <c r="O402" s="57" t="s">
        <v>731</v>
      </c>
      <c r="P402" s="57" t="s">
        <v>731</v>
      </c>
      <c r="Q402" s="57" t="s">
        <v>731</v>
      </c>
    </row>
    <row r="403" spans="1:17" s="18" customFormat="1" ht="12.75">
      <c r="A403" s="96"/>
      <c r="B403" s="22"/>
      <c r="C403" s="22"/>
      <c r="D403" s="22"/>
      <c r="E403" s="23"/>
      <c r="F403" s="91" t="s">
        <v>92</v>
      </c>
      <c r="G403" s="22" t="s">
        <v>67</v>
      </c>
      <c r="H403" s="23" t="s">
        <v>186</v>
      </c>
      <c r="I403" s="48">
        <f>0.0417*133</f>
        <v>5.5461</v>
      </c>
      <c r="J403" s="22" t="s">
        <v>18</v>
      </c>
      <c r="K403" s="18" t="s">
        <v>183</v>
      </c>
      <c r="L403" s="22">
        <v>2.4300000000000002</v>
      </c>
      <c r="M403" s="22" t="s">
        <v>277</v>
      </c>
      <c r="N403" s="22"/>
      <c r="O403" s="57" t="s">
        <v>731</v>
      </c>
      <c r="P403" s="57" t="s">
        <v>731</v>
      </c>
      <c r="Q403" s="57" t="s">
        <v>731</v>
      </c>
    </row>
    <row r="404" spans="1:17" s="18" customFormat="1" ht="12.75">
      <c r="A404" s="96"/>
      <c r="B404" s="22" t="s">
        <v>329</v>
      </c>
      <c r="C404" s="22" t="s">
        <v>334</v>
      </c>
      <c r="D404" s="22" t="s">
        <v>330</v>
      </c>
      <c r="E404" s="23">
        <v>14.4</v>
      </c>
      <c r="F404" s="22" t="s">
        <v>18</v>
      </c>
      <c r="G404" s="22" t="s">
        <v>14</v>
      </c>
      <c r="H404" s="23" t="s">
        <v>194</v>
      </c>
      <c r="I404" s="48">
        <f>0.3987*352</f>
        <v>140.3424</v>
      </c>
      <c r="J404" s="22" t="s">
        <v>92</v>
      </c>
      <c r="K404" s="22" t="s">
        <v>23</v>
      </c>
      <c r="L404" s="22">
        <v>0.86</v>
      </c>
      <c r="M404" s="22" t="s">
        <v>324</v>
      </c>
      <c r="N404" s="22" t="s">
        <v>92</v>
      </c>
      <c r="O404" s="54">
        <v>26.397300000000001</v>
      </c>
      <c r="P404" s="57" t="s">
        <v>731</v>
      </c>
      <c r="Q404" s="55">
        <v>19213.78</v>
      </c>
    </row>
    <row r="405" spans="1:17" s="18" customFormat="1" ht="12.75">
      <c r="A405" s="96"/>
      <c r="B405" s="22"/>
      <c r="C405" s="22" t="s">
        <v>316</v>
      </c>
      <c r="D405" s="22"/>
      <c r="E405" s="23"/>
      <c r="F405" s="22" t="s">
        <v>18</v>
      </c>
      <c r="G405" s="22" t="s">
        <v>20</v>
      </c>
      <c r="H405" s="23" t="s">
        <v>198</v>
      </c>
      <c r="I405" s="48">
        <f>0.3686*352</f>
        <v>129.74719999999999</v>
      </c>
      <c r="J405" s="22" t="s">
        <v>92</v>
      </c>
      <c r="K405" s="22" t="s">
        <v>23</v>
      </c>
      <c r="L405" s="22">
        <v>1</v>
      </c>
      <c r="M405" s="22" t="s">
        <v>325</v>
      </c>
      <c r="N405" s="22"/>
      <c r="O405" s="54">
        <v>61.497</v>
      </c>
      <c r="P405" s="57" t="s">
        <v>731</v>
      </c>
      <c r="Q405" s="55">
        <v>38495.19</v>
      </c>
    </row>
    <row r="406" spans="1:17" s="18" customFormat="1" ht="12.75">
      <c r="A406" s="96"/>
      <c r="B406" s="22"/>
      <c r="C406" s="27">
        <f>352/18714</f>
        <v>1.8809447472480496E-2</v>
      </c>
      <c r="D406" s="22"/>
      <c r="E406" s="23"/>
      <c r="F406" s="22" t="s">
        <v>18</v>
      </c>
      <c r="G406" s="22" t="s">
        <v>22</v>
      </c>
      <c r="H406" s="23" t="s">
        <v>201</v>
      </c>
      <c r="I406" s="48">
        <f>0.1178*352</f>
        <v>41.465600000000002</v>
      </c>
      <c r="J406" s="22" t="s">
        <v>218</v>
      </c>
      <c r="K406" s="22" t="s">
        <v>23</v>
      </c>
      <c r="L406" s="22">
        <v>1</v>
      </c>
      <c r="M406" s="22" t="s">
        <v>21</v>
      </c>
      <c r="N406" s="22"/>
      <c r="O406" s="54">
        <v>17.880299999999998</v>
      </c>
      <c r="P406" s="57" t="s">
        <v>731</v>
      </c>
      <c r="Q406" s="55">
        <v>11192.49</v>
      </c>
    </row>
    <row r="407" spans="1:17" s="18" customFormat="1" ht="12.75">
      <c r="A407" s="96"/>
      <c r="B407" s="22"/>
      <c r="C407" s="22"/>
      <c r="D407" s="22"/>
      <c r="E407" s="23"/>
      <c r="F407" s="22" t="s">
        <v>18</v>
      </c>
      <c r="G407" s="22" t="s">
        <v>25</v>
      </c>
      <c r="H407" s="23" t="s">
        <v>326</v>
      </c>
      <c r="I407" s="48">
        <f>0.109*352</f>
        <v>38.368000000000002</v>
      </c>
      <c r="J407" s="22" t="s">
        <v>221</v>
      </c>
      <c r="K407" s="22" t="s">
        <v>23</v>
      </c>
      <c r="L407" s="22">
        <v>1.04</v>
      </c>
      <c r="M407" s="22" t="s">
        <v>327</v>
      </c>
      <c r="N407" s="22"/>
      <c r="O407" s="54">
        <v>10.4681</v>
      </c>
      <c r="P407" s="57" t="s">
        <v>731</v>
      </c>
      <c r="Q407" s="55">
        <v>6300.69</v>
      </c>
    </row>
    <row r="408" spans="1:17" s="18" customFormat="1" ht="12.75">
      <c r="A408" s="96"/>
      <c r="B408" s="22"/>
      <c r="C408" s="22"/>
      <c r="D408" s="22"/>
      <c r="E408" s="23"/>
      <c r="F408" s="22" t="s">
        <v>18</v>
      </c>
      <c r="G408" s="22" t="s">
        <v>67</v>
      </c>
      <c r="H408" s="23" t="s">
        <v>301</v>
      </c>
      <c r="I408" s="48">
        <f>0.0059*352</f>
        <v>2.0768</v>
      </c>
      <c r="J408" s="22" t="s">
        <v>18</v>
      </c>
      <c r="K408" s="22" t="s">
        <v>23</v>
      </c>
      <c r="L408" s="22">
        <v>0.19</v>
      </c>
      <c r="M408" s="22" t="s">
        <v>328</v>
      </c>
      <c r="N408" s="22"/>
      <c r="O408" s="54">
        <v>2.3460999999999999</v>
      </c>
      <c r="P408" s="57" t="s">
        <v>731</v>
      </c>
      <c r="Q408" s="55">
        <v>7729.49</v>
      </c>
    </row>
    <row r="409" spans="1:17" s="18" customFormat="1" ht="12.75">
      <c r="A409" s="96"/>
      <c r="B409" s="22" t="s">
        <v>329</v>
      </c>
      <c r="C409" s="22" t="s">
        <v>250</v>
      </c>
      <c r="D409" s="22" t="s">
        <v>13</v>
      </c>
      <c r="E409" s="23">
        <v>14.4</v>
      </c>
      <c r="F409" s="22" t="s">
        <v>18</v>
      </c>
      <c r="G409" s="22" t="s">
        <v>14</v>
      </c>
      <c r="H409" s="23" t="s">
        <v>194</v>
      </c>
      <c r="I409" s="48">
        <f>0.3777*1870</f>
        <v>706.29899999999998</v>
      </c>
      <c r="J409" s="22" t="s">
        <v>18</v>
      </c>
      <c r="K409" s="22" t="s">
        <v>278</v>
      </c>
      <c r="L409" s="22">
        <v>1.03</v>
      </c>
      <c r="M409" s="22" t="s">
        <v>279</v>
      </c>
      <c r="N409" s="22" t="s">
        <v>18</v>
      </c>
      <c r="O409" s="54">
        <v>81.509</v>
      </c>
      <c r="P409" s="57" t="s">
        <v>731</v>
      </c>
      <c r="Q409" s="55">
        <v>10777.15</v>
      </c>
    </row>
    <row r="410" spans="1:17" s="18" customFormat="1" ht="12.75">
      <c r="A410" s="96"/>
      <c r="B410" s="22"/>
      <c r="C410" s="22" t="s">
        <v>280</v>
      </c>
      <c r="D410" s="22"/>
      <c r="E410" s="23"/>
      <c r="F410" s="22" t="s">
        <v>18</v>
      </c>
      <c r="G410" s="22" t="s">
        <v>20</v>
      </c>
      <c r="H410" s="23" t="s">
        <v>198</v>
      </c>
      <c r="I410" s="48">
        <f>0.4062*1870</f>
        <v>759.59400000000005</v>
      </c>
      <c r="J410" s="22" t="s">
        <v>18</v>
      </c>
      <c r="K410" s="22" t="s">
        <v>23</v>
      </c>
      <c r="L410" s="22">
        <v>0.98</v>
      </c>
      <c r="M410" s="22" t="s">
        <v>281</v>
      </c>
      <c r="N410" s="22"/>
      <c r="O410" s="54">
        <v>345.39499999999998</v>
      </c>
      <c r="P410" s="57" t="s">
        <v>731</v>
      </c>
      <c r="Q410" s="55">
        <v>47998.53</v>
      </c>
    </row>
    <row r="411" spans="1:17" s="18" customFormat="1" ht="12.75">
      <c r="A411" s="96"/>
      <c r="B411" s="22"/>
      <c r="C411" s="89">
        <f>1870/18714</f>
        <v>9.9925189697552638E-2</v>
      </c>
      <c r="D411" s="24"/>
      <c r="E411" s="90"/>
      <c r="F411" s="22" t="s">
        <v>18</v>
      </c>
      <c r="G411" s="22" t="s">
        <v>22</v>
      </c>
      <c r="H411" s="23" t="s">
        <v>201</v>
      </c>
      <c r="I411" s="48">
        <f>0.1183*1870</f>
        <v>221.221</v>
      </c>
      <c r="J411" s="22" t="s">
        <v>92</v>
      </c>
      <c r="K411" s="22" t="s">
        <v>36</v>
      </c>
      <c r="L411" s="22">
        <v>1</v>
      </c>
      <c r="M411" s="22" t="s">
        <v>21</v>
      </c>
      <c r="N411" s="22"/>
      <c r="O411" s="54">
        <v>72.147999999999996</v>
      </c>
      <c r="P411" s="57" t="s">
        <v>731</v>
      </c>
      <c r="Q411" s="55">
        <v>9825.7099999999991</v>
      </c>
    </row>
    <row r="412" spans="1:17" s="18" customFormat="1" ht="12.75">
      <c r="A412" s="96"/>
      <c r="B412" s="22"/>
      <c r="C412" s="22"/>
      <c r="D412" s="22"/>
      <c r="E412" s="23"/>
      <c r="F412" s="22" t="s">
        <v>18</v>
      </c>
      <c r="G412" s="22" t="s">
        <v>25</v>
      </c>
      <c r="H412" s="23" t="s">
        <v>203</v>
      </c>
      <c r="I412" s="48">
        <f>0.0978*1870</f>
        <v>182.886</v>
      </c>
      <c r="J412" s="22" t="s">
        <v>92</v>
      </c>
      <c r="K412" s="22" t="s">
        <v>36</v>
      </c>
      <c r="L412" s="22">
        <v>0.9</v>
      </c>
      <c r="M412" s="22" t="s">
        <v>282</v>
      </c>
      <c r="N412" s="22"/>
      <c r="O412" s="54">
        <v>32.220999999999997</v>
      </c>
      <c r="P412" s="57" t="s">
        <v>731</v>
      </c>
      <c r="Q412" s="55">
        <v>4875.67</v>
      </c>
    </row>
    <row r="413" spans="1:17" s="18" customFormat="1" ht="12.75">
      <c r="A413" s="96"/>
      <c r="B413" s="22" t="s">
        <v>329</v>
      </c>
      <c r="C413" s="22" t="s">
        <v>258</v>
      </c>
      <c r="D413" s="22" t="s">
        <v>13</v>
      </c>
      <c r="E413" s="23">
        <v>14.4</v>
      </c>
      <c r="F413" s="22" t="s">
        <v>92</v>
      </c>
      <c r="G413" s="22" t="s">
        <v>14</v>
      </c>
      <c r="H413" s="23" t="s">
        <v>194</v>
      </c>
      <c r="I413" s="48">
        <f>0.3897*1006</f>
        <v>392.03820000000002</v>
      </c>
      <c r="J413" s="22" t="s">
        <v>18</v>
      </c>
      <c r="K413" s="22" t="s">
        <v>183</v>
      </c>
      <c r="L413" s="22">
        <v>1.1299999999999999</v>
      </c>
      <c r="M413" s="22" t="s">
        <v>283</v>
      </c>
      <c r="N413" s="22" t="s">
        <v>92</v>
      </c>
      <c r="O413" s="57" t="s">
        <v>731</v>
      </c>
      <c r="P413" s="57" t="s">
        <v>731</v>
      </c>
      <c r="Q413" s="57" t="s">
        <v>731</v>
      </c>
    </row>
    <row r="414" spans="1:17" s="18" customFormat="1" ht="12.75">
      <c r="A414" s="96"/>
      <c r="B414" s="22"/>
      <c r="C414" s="22" t="s">
        <v>260</v>
      </c>
      <c r="D414" s="22"/>
      <c r="E414" s="90"/>
      <c r="F414" s="91" t="s">
        <v>18</v>
      </c>
      <c r="G414" s="22" t="s">
        <v>20</v>
      </c>
      <c r="H414" s="23" t="s">
        <v>198</v>
      </c>
      <c r="I414" s="48">
        <f>0.4101*1006</f>
        <v>412.56060000000002</v>
      </c>
      <c r="J414" s="22" t="s">
        <v>92</v>
      </c>
      <c r="K414" s="18" t="s">
        <v>23</v>
      </c>
      <c r="L414" s="22">
        <v>1.01</v>
      </c>
      <c r="M414" s="22" t="s">
        <v>284</v>
      </c>
      <c r="N414" s="22"/>
      <c r="O414" s="57" t="s">
        <v>731</v>
      </c>
      <c r="P414" s="57" t="s">
        <v>731</v>
      </c>
      <c r="Q414" s="57" t="s">
        <v>731</v>
      </c>
    </row>
    <row r="415" spans="1:17" s="18" customFormat="1" ht="12.75">
      <c r="A415" s="96"/>
      <c r="B415" s="22"/>
      <c r="C415" s="24">
        <f>1006/18714</f>
        <v>5.3756545901464142E-2</v>
      </c>
      <c r="D415" s="24"/>
      <c r="E415" s="23"/>
      <c r="F415" s="22" t="s">
        <v>18</v>
      </c>
      <c r="G415" s="22" t="s">
        <v>22</v>
      </c>
      <c r="H415" s="23" t="s">
        <v>201</v>
      </c>
      <c r="I415" s="48">
        <f>0.1194*1006</f>
        <v>120.11640000000001</v>
      </c>
      <c r="J415" s="22" t="s">
        <v>218</v>
      </c>
      <c r="K415" s="18" t="s">
        <v>36</v>
      </c>
      <c r="L415" s="22">
        <v>1</v>
      </c>
      <c r="M415" s="22" t="s">
        <v>21</v>
      </c>
      <c r="N415" s="22"/>
      <c r="O415" s="57" t="s">
        <v>731</v>
      </c>
      <c r="P415" s="57" t="s">
        <v>731</v>
      </c>
      <c r="Q415" s="57" t="s">
        <v>731</v>
      </c>
    </row>
    <row r="416" spans="1:17" s="18" customFormat="1" ht="12.75">
      <c r="A416" s="96"/>
      <c r="B416" s="22"/>
      <c r="C416" s="22"/>
      <c r="D416" s="22"/>
      <c r="E416" s="23"/>
      <c r="F416" s="22" t="s">
        <v>18</v>
      </c>
      <c r="G416" s="22" t="s">
        <v>25</v>
      </c>
      <c r="H416" s="23" t="s">
        <v>203</v>
      </c>
      <c r="I416" s="48">
        <f>0.0806*1006</f>
        <v>81.083600000000004</v>
      </c>
      <c r="J416" s="22" t="s">
        <v>92</v>
      </c>
      <c r="K416" s="18" t="s">
        <v>36</v>
      </c>
      <c r="L416" s="22">
        <v>0.61</v>
      </c>
      <c r="M416" s="22" t="s">
        <v>285</v>
      </c>
      <c r="N416" s="22"/>
      <c r="O416" s="57" t="s">
        <v>731</v>
      </c>
      <c r="P416" s="57" t="s">
        <v>731</v>
      </c>
      <c r="Q416" s="57" t="s">
        <v>731</v>
      </c>
    </row>
    <row r="417" spans="1:17" s="18" customFormat="1" ht="12.75">
      <c r="A417" s="96"/>
      <c r="B417" s="22" t="s">
        <v>329</v>
      </c>
      <c r="C417" s="22" t="s">
        <v>264</v>
      </c>
      <c r="D417" s="22" t="s">
        <v>13</v>
      </c>
      <c r="E417" s="23">
        <v>14.4</v>
      </c>
      <c r="F417" s="22" t="s">
        <v>18</v>
      </c>
      <c r="G417" s="22" t="s">
        <v>14</v>
      </c>
      <c r="H417" s="23" t="s">
        <v>194</v>
      </c>
      <c r="I417" s="48">
        <f>0.3808*362</f>
        <v>137.84960000000001</v>
      </c>
      <c r="J417" s="22" t="s">
        <v>92</v>
      </c>
      <c r="K417" s="18" t="s">
        <v>36</v>
      </c>
      <c r="L417" s="22">
        <v>1.32</v>
      </c>
      <c r="M417" s="22" t="s">
        <v>286</v>
      </c>
      <c r="N417" s="22" t="s">
        <v>287</v>
      </c>
      <c r="O417" s="57" t="s">
        <v>731</v>
      </c>
      <c r="P417" s="57" t="s">
        <v>731</v>
      </c>
      <c r="Q417" s="57" t="s">
        <v>731</v>
      </c>
    </row>
    <row r="418" spans="1:17" s="18" customFormat="1" ht="12.75">
      <c r="A418" s="96"/>
      <c r="B418" s="22"/>
      <c r="C418" s="22" t="s">
        <v>394</v>
      </c>
      <c r="D418" s="22"/>
      <c r="E418" s="23"/>
      <c r="F418" s="22" t="s">
        <v>287</v>
      </c>
      <c r="G418" s="22" t="s">
        <v>20</v>
      </c>
      <c r="H418" s="23" t="s">
        <v>198</v>
      </c>
      <c r="I418" s="48">
        <f>0.4267*362</f>
        <v>154.46540000000002</v>
      </c>
      <c r="J418" s="22" t="s">
        <v>18</v>
      </c>
      <c r="K418" s="18" t="s">
        <v>222</v>
      </c>
      <c r="L418" s="22">
        <v>1.2</v>
      </c>
      <c r="M418" s="22" t="s">
        <v>288</v>
      </c>
      <c r="N418" s="22"/>
      <c r="O418" s="57" t="s">
        <v>731</v>
      </c>
      <c r="P418" s="57" t="s">
        <v>731</v>
      </c>
      <c r="Q418" s="57" t="s">
        <v>731</v>
      </c>
    </row>
    <row r="419" spans="1:17" s="18" customFormat="1" ht="12.75">
      <c r="A419" s="96"/>
      <c r="B419" s="22"/>
      <c r="C419" s="27">
        <f>362/18714</f>
        <v>1.9343806775675966E-2</v>
      </c>
      <c r="D419" s="24"/>
      <c r="E419" s="90"/>
      <c r="F419" s="22" t="s">
        <v>289</v>
      </c>
      <c r="G419" s="22" t="s">
        <v>22</v>
      </c>
      <c r="H419" s="23" t="s">
        <v>201</v>
      </c>
      <c r="I419" s="48">
        <f>0.1043*362</f>
        <v>37.756599999999999</v>
      </c>
      <c r="J419" s="22" t="s">
        <v>92</v>
      </c>
      <c r="K419" s="18" t="s">
        <v>219</v>
      </c>
      <c r="L419" s="22">
        <v>1</v>
      </c>
      <c r="M419" s="22" t="s">
        <v>37</v>
      </c>
      <c r="N419" s="22"/>
      <c r="O419" s="57" t="s">
        <v>731</v>
      </c>
      <c r="P419" s="57" t="s">
        <v>731</v>
      </c>
      <c r="Q419" s="57" t="s">
        <v>731</v>
      </c>
    </row>
    <row r="420" spans="1:17" s="18" customFormat="1" ht="12.75">
      <c r="A420" s="96"/>
      <c r="B420" s="22"/>
      <c r="C420" s="22"/>
      <c r="D420" s="22"/>
      <c r="E420" s="23"/>
      <c r="F420" s="91" t="s">
        <v>289</v>
      </c>
      <c r="G420" s="22" t="s">
        <v>25</v>
      </c>
      <c r="H420" s="23" t="s">
        <v>203</v>
      </c>
      <c r="I420" s="48">
        <f>0.0882*362</f>
        <v>31.9284</v>
      </c>
      <c r="J420" s="22" t="s">
        <v>195</v>
      </c>
      <c r="K420" s="18" t="s">
        <v>219</v>
      </c>
      <c r="L420" s="22">
        <v>0.8</v>
      </c>
      <c r="M420" s="22" t="s">
        <v>290</v>
      </c>
      <c r="N420" s="22"/>
      <c r="O420" s="57" t="s">
        <v>731</v>
      </c>
      <c r="P420" s="57" t="s">
        <v>731</v>
      </c>
      <c r="Q420" s="57" t="s">
        <v>731</v>
      </c>
    </row>
    <row r="421" spans="1:17" s="18" customFormat="1" ht="12.75">
      <c r="A421" s="96"/>
      <c r="B421" s="22" t="s">
        <v>329</v>
      </c>
      <c r="C421" s="22" t="s">
        <v>270</v>
      </c>
      <c r="D421" s="22" t="s">
        <v>13</v>
      </c>
      <c r="E421" s="23"/>
      <c r="F421" s="22" t="s">
        <v>289</v>
      </c>
      <c r="G421" s="22" t="s">
        <v>14</v>
      </c>
      <c r="H421" s="23" t="s">
        <v>194</v>
      </c>
      <c r="I421" s="48">
        <f>0.3951*133</f>
        <v>52.548299999999998</v>
      </c>
      <c r="J421" s="22" t="s">
        <v>92</v>
      </c>
      <c r="K421" s="18" t="s">
        <v>219</v>
      </c>
      <c r="L421" s="22">
        <v>1.61</v>
      </c>
      <c r="M421" s="22" t="s">
        <v>291</v>
      </c>
      <c r="N421" s="22" t="s">
        <v>289</v>
      </c>
      <c r="O421" s="57" t="s">
        <v>731</v>
      </c>
      <c r="P421" s="57" t="s">
        <v>731</v>
      </c>
      <c r="Q421" s="57" t="s">
        <v>731</v>
      </c>
    </row>
    <row r="422" spans="1:17" s="18" customFormat="1" ht="12.75">
      <c r="A422" s="96"/>
      <c r="B422" s="22"/>
      <c r="C422" s="22" t="s">
        <v>292</v>
      </c>
      <c r="D422" s="22"/>
      <c r="E422" s="23">
        <v>14.4</v>
      </c>
      <c r="F422" s="22" t="s">
        <v>289</v>
      </c>
      <c r="G422" s="22" t="s">
        <v>20</v>
      </c>
      <c r="H422" s="23" t="s">
        <v>198</v>
      </c>
      <c r="I422" s="48">
        <f>0.4062*133</f>
        <v>54.0246</v>
      </c>
      <c r="J422" s="22" t="s">
        <v>92</v>
      </c>
      <c r="K422" s="18" t="s">
        <v>219</v>
      </c>
      <c r="L422" s="22">
        <v>1.4</v>
      </c>
      <c r="M422" s="22" t="s">
        <v>293</v>
      </c>
      <c r="N422" s="22"/>
      <c r="O422" s="57" t="s">
        <v>731</v>
      </c>
      <c r="P422" s="57" t="s">
        <v>731</v>
      </c>
      <c r="Q422" s="57" t="s">
        <v>731</v>
      </c>
    </row>
    <row r="423" spans="1:17" s="18" customFormat="1" ht="12.75">
      <c r="A423" s="96"/>
      <c r="B423" s="22"/>
      <c r="C423" s="25">
        <f>144/18714</f>
        <v>7.6947739660147485E-3</v>
      </c>
      <c r="D423" s="22"/>
      <c r="E423" s="90"/>
      <c r="F423" s="22" t="s">
        <v>289</v>
      </c>
      <c r="G423" s="22" t="s">
        <v>22</v>
      </c>
      <c r="H423" s="23" t="s">
        <v>201</v>
      </c>
      <c r="I423" s="48">
        <f>0.0801*133</f>
        <v>10.6533</v>
      </c>
      <c r="J423" s="22" t="s">
        <v>18</v>
      </c>
      <c r="K423" s="18" t="s">
        <v>219</v>
      </c>
      <c r="L423" s="22">
        <v>1</v>
      </c>
      <c r="M423" s="22" t="s">
        <v>37</v>
      </c>
      <c r="N423" s="22"/>
      <c r="O423" s="57" t="s">
        <v>731</v>
      </c>
      <c r="P423" s="57" t="s">
        <v>731</v>
      </c>
      <c r="Q423" s="57" t="s">
        <v>731</v>
      </c>
    </row>
    <row r="424" spans="1:17" s="18" customFormat="1" ht="12.75">
      <c r="A424" s="96"/>
      <c r="B424" s="22"/>
      <c r="C424" s="22"/>
      <c r="D424" s="22"/>
      <c r="E424" s="23"/>
      <c r="F424" s="22" t="s">
        <v>289</v>
      </c>
      <c r="G424" s="22" t="s">
        <v>25</v>
      </c>
      <c r="H424" s="23" t="s">
        <v>203</v>
      </c>
      <c r="I424" s="48">
        <f>0.1185*133</f>
        <v>15.760499999999999</v>
      </c>
      <c r="J424" s="22" t="s">
        <v>195</v>
      </c>
      <c r="K424" s="18" t="s">
        <v>219</v>
      </c>
      <c r="L424" s="22">
        <v>1.75</v>
      </c>
      <c r="M424" s="22" t="s">
        <v>294</v>
      </c>
      <c r="N424" s="22"/>
      <c r="O424" s="57" t="s">
        <v>731</v>
      </c>
      <c r="P424" s="57" t="s">
        <v>731</v>
      </c>
      <c r="Q424" s="57" t="s">
        <v>731</v>
      </c>
    </row>
    <row r="425" spans="1:17" s="18" customFormat="1" ht="12.75">
      <c r="A425" s="96"/>
      <c r="B425" s="22" t="s">
        <v>329</v>
      </c>
      <c r="C425" s="22" t="s">
        <v>334</v>
      </c>
      <c r="D425" s="22" t="s">
        <v>13</v>
      </c>
      <c r="E425" s="23">
        <v>14.4</v>
      </c>
      <c r="F425" s="22" t="s">
        <v>18</v>
      </c>
      <c r="G425" s="22" t="s">
        <v>14</v>
      </c>
      <c r="H425" s="23" t="s">
        <v>194</v>
      </c>
      <c r="I425" s="48">
        <f>0.3345*352</f>
        <v>117.744</v>
      </c>
      <c r="J425" s="22" t="s">
        <v>92</v>
      </c>
      <c r="K425" s="22" t="s">
        <v>23</v>
      </c>
      <c r="L425" s="22">
        <v>0.79</v>
      </c>
      <c r="M425" s="22" t="s">
        <v>315</v>
      </c>
      <c r="N425" s="22" t="s">
        <v>18</v>
      </c>
      <c r="O425" s="57" t="s">
        <v>731</v>
      </c>
      <c r="P425" s="57" t="s">
        <v>731</v>
      </c>
      <c r="Q425" s="57" t="s">
        <v>731</v>
      </c>
    </row>
    <row r="426" spans="1:17" s="18" customFormat="1" ht="12.75">
      <c r="A426" s="96"/>
      <c r="B426" s="22"/>
      <c r="C426" s="22" t="s">
        <v>316</v>
      </c>
      <c r="D426" s="22"/>
      <c r="E426" s="23"/>
      <c r="F426" s="22" t="s">
        <v>317</v>
      </c>
      <c r="G426" s="22" t="s">
        <v>20</v>
      </c>
      <c r="H426" s="23" t="s">
        <v>198</v>
      </c>
      <c r="I426" s="48">
        <f>0.4413*352</f>
        <v>155.33760000000001</v>
      </c>
      <c r="J426" s="22" t="s">
        <v>92</v>
      </c>
      <c r="K426" s="22" t="s">
        <v>23</v>
      </c>
      <c r="L426" s="22">
        <v>0.96</v>
      </c>
      <c r="M426" s="22" t="s">
        <v>318</v>
      </c>
      <c r="N426" s="22"/>
      <c r="O426" s="57" t="s">
        <v>731</v>
      </c>
      <c r="P426" s="57" t="s">
        <v>731</v>
      </c>
      <c r="Q426" s="57" t="s">
        <v>731</v>
      </c>
    </row>
    <row r="427" spans="1:17" s="18" customFormat="1" ht="12.75">
      <c r="A427" s="96"/>
      <c r="B427" s="22"/>
      <c r="C427" s="27">
        <f>352/18714</f>
        <v>1.8809447472480496E-2</v>
      </c>
      <c r="D427" s="22"/>
      <c r="E427" s="23"/>
      <c r="F427" s="22" t="s">
        <v>317</v>
      </c>
      <c r="G427" s="22" t="s">
        <v>22</v>
      </c>
      <c r="H427" s="23" t="s">
        <v>201</v>
      </c>
      <c r="I427" s="48">
        <f>0.1267*352</f>
        <v>44.598400000000005</v>
      </c>
      <c r="J427" s="22" t="s">
        <v>18</v>
      </c>
      <c r="K427" s="22" t="s">
        <v>23</v>
      </c>
      <c r="L427" s="22">
        <v>1</v>
      </c>
      <c r="M427" s="22" t="s">
        <v>21</v>
      </c>
      <c r="N427" s="22"/>
      <c r="O427" s="57" t="s">
        <v>731</v>
      </c>
      <c r="P427" s="57" t="s">
        <v>731</v>
      </c>
      <c r="Q427" s="57" t="s">
        <v>731</v>
      </c>
    </row>
    <row r="428" spans="1:17" s="18" customFormat="1" ht="12.75">
      <c r="A428" s="96"/>
      <c r="B428" s="22"/>
      <c r="C428" s="22"/>
      <c r="D428" s="22"/>
      <c r="E428" s="23"/>
      <c r="F428" s="22" t="s">
        <v>317</v>
      </c>
      <c r="G428" s="22" t="s">
        <v>25</v>
      </c>
      <c r="H428" s="23" t="s">
        <v>203</v>
      </c>
      <c r="I428" s="48">
        <f>0.0976*352</f>
        <v>34.355200000000004</v>
      </c>
      <c r="J428" s="22" t="s">
        <v>195</v>
      </c>
      <c r="K428" s="22" t="s">
        <v>23</v>
      </c>
      <c r="L428" s="22">
        <v>0.87</v>
      </c>
      <c r="M428" s="22" t="s">
        <v>319</v>
      </c>
      <c r="N428" s="22"/>
      <c r="O428" s="57" t="s">
        <v>731</v>
      </c>
      <c r="P428" s="57" t="s">
        <v>731</v>
      </c>
      <c r="Q428" s="57" t="s">
        <v>731</v>
      </c>
    </row>
    <row r="429" spans="1:17" s="18" customFormat="1" ht="12.75">
      <c r="A429" s="96"/>
      <c r="B429" s="22" t="s">
        <v>329</v>
      </c>
      <c r="C429" s="22" t="s">
        <v>250</v>
      </c>
      <c r="D429" s="22" t="s">
        <v>331</v>
      </c>
      <c r="E429" s="23">
        <v>14.4</v>
      </c>
      <c r="F429" s="22" t="s">
        <v>289</v>
      </c>
      <c r="G429" s="22" t="s">
        <v>14</v>
      </c>
      <c r="H429" s="23">
        <v>0</v>
      </c>
      <c r="I429" s="48">
        <f>0.811*1870</f>
        <v>1516.5700000000002</v>
      </c>
      <c r="J429" s="22" t="s">
        <v>18</v>
      </c>
      <c r="K429" s="18" t="s">
        <v>219</v>
      </c>
      <c r="L429" s="22">
        <v>1</v>
      </c>
      <c r="M429" s="22" t="s">
        <v>21</v>
      </c>
      <c r="N429" s="22" t="s">
        <v>289</v>
      </c>
      <c r="O429" s="57" t="s">
        <v>731</v>
      </c>
      <c r="P429" s="57" t="s">
        <v>731</v>
      </c>
      <c r="Q429" s="57" t="s">
        <v>731</v>
      </c>
    </row>
    <row r="430" spans="1:17" s="18" customFormat="1" ht="12.75">
      <c r="A430" s="96"/>
      <c r="B430" s="22"/>
      <c r="C430" s="22" t="s">
        <v>295</v>
      </c>
      <c r="D430" s="22"/>
      <c r="E430" s="23"/>
      <c r="F430" s="22" t="s">
        <v>289</v>
      </c>
      <c r="G430" s="22" t="s">
        <v>20</v>
      </c>
      <c r="H430" s="23" t="s">
        <v>296</v>
      </c>
      <c r="I430" s="48">
        <f>0.1477*1870</f>
        <v>276.19900000000001</v>
      </c>
      <c r="J430" s="22" t="s">
        <v>92</v>
      </c>
      <c r="K430" s="18" t="s">
        <v>219</v>
      </c>
      <c r="L430" s="22">
        <v>0.85</v>
      </c>
      <c r="M430" s="22" t="s">
        <v>297</v>
      </c>
      <c r="N430" s="22"/>
      <c r="O430" s="57" t="s">
        <v>731</v>
      </c>
      <c r="P430" s="57" t="s">
        <v>731</v>
      </c>
      <c r="Q430" s="57" t="s">
        <v>731</v>
      </c>
    </row>
    <row r="431" spans="1:17" s="18" customFormat="1" ht="12.75">
      <c r="A431" s="96"/>
      <c r="B431" s="22"/>
      <c r="C431" s="89">
        <f>1870/18714</f>
        <v>9.9925189697552638E-2</v>
      </c>
      <c r="D431" s="24"/>
      <c r="E431" s="90"/>
      <c r="F431" s="22" t="s">
        <v>298</v>
      </c>
      <c r="G431" s="22" t="s">
        <v>22</v>
      </c>
      <c r="H431" s="23" t="s">
        <v>198</v>
      </c>
      <c r="I431" s="48">
        <f>0.0274*1870</f>
        <v>51.238</v>
      </c>
      <c r="J431" s="22" t="s">
        <v>92</v>
      </c>
      <c r="K431" s="18" t="s">
        <v>23</v>
      </c>
      <c r="L431" s="22">
        <v>0.71</v>
      </c>
      <c r="M431" s="22" t="s">
        <v>299</v>
      </c>
      <c r="N431" s="22"/>
      <c r="O431" s="57" t="s">
        <v>731</v>
      </c>
      <c r="P431" s="57" t="s">
        <v>731</v>
      </c>
      <c r="Q431" s="57" t="s">
        <v>731</v>
      </c>
    </row>
    <row r="432" spans="1:17" s="18" customFormat="1" ht="12.75">
      <c r="A432" s="96"/>
      <c r="B432" s="22"/>
      <c r="C432" s="22"/>
      <c r="D432" s="22"/>
      <c r="E432" s="23"/>
      <c r="F432" s="22" t="s">
        <v>298</v>
      </c>
      <c r="G432" s="22" t="s">
        <v>25</v>
      </c>
      <c r="H432" s="23" t="s">
        <v>212</v>
      </c>
      <c r="I432" s="48">
        <f>0.012*1870</f>
        <v>22.44</v>
      </c>
      <c r="J432" s="22" t="s">
        <v>92</v>
      </c>
      <c r="K432" s="18" t="s">
        <v>23</v>
      </c>
      <c r="L432" s="22">
        <v>0.92</v>
      </c>
      <c r="M432" s="22" t="s">
        <v>300</v>
      </c>
      <c r="N432" s="22"/>
      <c r="O432" s="57" t="s">
        <v>731</v>
      </c>
      <c r="P432" s="57" t="s">
        <v>731</v>
      </c>
      <c r="Q432" s="57" t="s">
        <v>731</v>
      </c>
    </row>
    <row r="433" spans="1:17" s="18" customFormat="1" ht="12.75">
      <c r="A433" s="96"/>
      <c r="B433" s="22"/>
      <c r="C433" s="22"/>
      <c r="D433" s="22"/>
      <c r="E433" s="23"/>
      <c r="F433" s="91" t="s">
        <v>298</v>
      </c>
      <c r="G433" s="22" t="s">
        <v>67</v>
      </c>
      <c r="H433" s="23" t="s">
        <v>301</v>
      </c>
      <c r="I433" s="48">
        <f>0.002*1870</f>
        <v>3.74</v>
      </c>
      <c r="J433" s="22" t="s">
        <v>195</v>
      </c>
      <c r="K433" s="18" t="s">
        <v>23</v>
      </c>
      <c r="L433" s="22">
        <v>1.62</v>
      </c>
      <c r="M433" s="22" t="s">
        <v>302</v>
      </c>
      <c r="N433" s="22"/>
      <c r="O433" s="57" t="s">
        <v>731</v>
      </c>
      <c r="P433" s="57" t="s">
        <v>731</v>
      </c>
      <c r="Q433" s="57" t="s">
        <v>731</v>
      </c>
    </row>
    <row r="434" spans="1:17" s="18" customFormat="1" ht="12.75">
      <c r="A434" s="96"/>
      <c r="B434" s="22" t="s">
        <v>329</v>
      </c>
      <c r="C434" s="22" t="s">
        <v>258</v>
      </c>
      <c r="D434" s="22" t="s">
        <v>331</v>
      </c>
      <c r="E434" s="23">
        <v>14.4</v>
      </c>
      <c r="F434" s="22" t="s">
        <v>298</v>
      </c>
      <c r="G434" s="22" t="s">
        <v>14</v>
      </c>
      <c r="H434" s="23">
        <v>0</v>
      </c>
      <c r="I434" s="48">
        <f>0.8121*1006</f>
        <v>816.97260000000006</v>
      </c>
      <c r="J434" s="22" t="s">
        <v>92</v>
      </c>
      <c r="K434" s="18" t="s">
        <v>23</v>
      </c>
      <c r="L434" s="22">
        <v>1</v>
      </c>
      <c r="M434" s="22" t="s">
        <v>303</v>
      </c>
      <c r="N434" s="22" t="s">
        <v>298</v>
      </c>
      <c r="O434" s="57" t="s">
        <v>731</v>
      </c>
      <c r="P434" s="57" t="s">
        <v>731</v>
      </c>
      <c r="Q434" s="57" t="s">
        <v>731</v>
      </c>
    </row>
    <row r="435" spans="1:17" s="18" customFormat="1" ht="12.75">
      <c r="A435" s="96"/>
      <c r="B435" s="22"/>
      <c r="C435" s="22" t="s">
        <v>304</v>
      </c>
      <c r="D435" s="22"/>
      <c r="E435" s="90"/>
      <c r="F435" s="22" t="s">
        <v>298</v>
      </c>
      <c r="G435" s="22" t="s">
        <v>20</v>
      </c>
      <c r="H435" s="23" t="s">
        <v>296</v>
      </c>
      <c r="I435" s="48">
        <f>0.1504*1006</f>
        <v>151.30240000000001</v>
      </c>
      <c r="J435" s="22" t="s">
        <v>92</v>
      </c>
      <c r="K435" s="18" t="s">
        <v>23</v>
      </c>
      <c r="L435" s="22">
        <v>0.8</v>
      </c>
      <c r="M435" s="22" t="s">
        <v>305</v>
      </c>
      <c r="N435" s="22"/>
      <c r="O435" s="57" t="s">
        <v>731</v>
      </c>
      <c r="P435" s="57" t="s">
        <v>731</v>
      </c>
      <c r="Q435" s="57" t="s">
        <v>731</v>
      </c>
    </row>
    <row r="436" spans="1:17" s="18" customFormat="1" ht="12.75">
      <c r="A436" s="96"/>
      <c r="B436" s="22"/>
      <c r="C436" s="24">
        <f>1006/18714</f>
        <v>5.3756545901464142E-2</v>
      </c>
      <c r="D436" s="24"/>
      <c r="E436" s="23"/>
      <c r="F436" s="22" t="s">
        <v>289</v>
      </c>
      <c r="G436" s="22" t="s">
        <v>22</v>
      </c>
      <c r="H436" s="23" t="s">
        <v>198</v>
      </c>
      <c r="I436" s="48">
        <f>0.0253*1006</f>
        <v>25.451799999999999</v>
      </c>
      <c r="J436" s="22" t="s">
        <v>18</v>
      </c>
      <c r="K436" s="18" t="s">
        <v>219</v>
      </c>
      <c r="L436" s="22">
        <v>0.73</v>
      </c>
      <c r="M436" s="22" t="s">
        <v>306</v>
      </c>
      <c r="N436" s="22"/>
      <c r="O436" s="57" t="s">
        <v>731</v>
      </c>
      <c r="P436" s="57" t="s">
        <v>731</v>
      </c>
      <c r="Q436" s="57" t="s">
        <v>731</v>
      </c>
    </row>
    <row r="437" spans="1:17" s="18" customFormat="1" ht="12.75">
      <c r="A437" s="96"/>
      <c r="B437" s="22"/>
      <c r="C437" s="22"/>
      <c r="D437" s="22"/>
      <c r="E437" s="23"/>
      <c r="F437" s="22" t="s">
        <v>289</v>
      </c>
      <c r="G437" s="22" t="s">
        <v>25</v>
      </c>
      <c r="H437" s="23" t="s">
        <v>212</v>
      </c>
      <c r="I437" s="48">
        <f>0.0121*1006</f>
        <v>12.172599999999999</v>
      </c>
      <c r="J437" s="22" t="s">
        <v>195</v>
      </c>
      <c r="K437" s="18" t="s">
        <v>219</v>
      </c>
      <c r="L437" s="22">
        <v>0.95</v>
      </c>
      <c r="M437" s="22" t="s">
        <v>307</v>
      </c>
      <c r="N437" s="22"/>
      <c r="O437" s="57" t="s">
        <v>731</v>
      </c>
      <c r="P437" s="57" t="s">
        <v>731</v>
      </c>
      <c r="Q437" s="57" t="s">
        <v>731</v>
      </c>
    </row>
    <row r="438" spans="1:17" s="18" customFormat="1" ht="12.75">
      <c r="A438" s="96"/>
      <c r="B438" s="22"/>
      <c r="C438" s="22"/>
      <c r="D438" s="22"/>
      <c r="E438" s="23"/>
      <c r="F438" s="22" t="s">
        <v>289</v>
      </c>
      <c r="G438" s="22" t="s">
        <v>67</v>
      </c>
      <c r="H438" s="23" t="s">
        <v>301</v>
      </c>
      <c r="I438" s="48">
        <v>0</v>
      </c>
      <c r="J438" s="22" t="s">
        <v>92</v>
      </c>
      <c r="K438" s="22" t="s">
        <v>219</v>
      </c>
      <c r="L438" s="22" t="s">
        <v>308</v>
      </c>
      <c r="M438" s="22" t="s">
        <v>308</v>
      </c>
      <c r="N438" s="22"/>
      <c r="O438" s="57" t="s">
        <v>731</v>
      </c>
      <c r="P438" s="57" t="s">
        <v>731</v>
      </c>
      <c r="Q438" s="57" t="s">
        <v>731</v>
      </c>
    </row>
    <row r="439" spans="1:17" s="18" customFormat="1" ht="12.75">
      <c r="A439" s="96"/>
      <c r="B439" s="22" t="s">
        <v>329</v>
      </c>
      <c r="C439" s="22" t="s">
        <v>333</v>
      </c>
      <c r="D439" s="22" t="s">
        <v>331</v>
      </c>
      <c r="E439" s="23">
        <v>14.4</v>
      </c>
      <c r="F439" s="91" t="s">
        <v>289</v>
      </c>
      <c r="G439" s="22" t="s">
        <v>14</v>
      </c>
      <c r="H439" s="23">
        <v>0</v>
      </c>
      <c r="I439" s="48">
        <f>0.8275*362</f>
        <v>299.55500000000001</v>
      </c>
      <c r="J439" s="22" t="s">
        <v>92</v>
      </c>
      <c r="K439" s="22" t="s">
        <v>219</v>
      </c>
      <c r="L439" s="22">
        <v>1</v>
      </c>
      <c r="M439" s="22" t="s">
        <v>37</v>
      </c>
      <c r="N439" s="22" t="s">
        <v>289</v>
      </c>
      <c r="O439" s="57" t="s">
        <v>731</v>
      </c>
      <c r="P439" s="57" t="s">
        <v>731</v>
      </c>
      <c r="Q439" s="57" t="s">
        <v>731</v>
      </c>
    </row>
    <row r="440" spans="1:17" s="18" customFormat="1" ht="12.75">
      <c r="A440" s="96"/>
      <c r="B440" s="22"/>
      <c r="C440" s="22" t="s">
        <v>394</v>
      </c>
      <c r="D440" s="22"/>
      <c r="E440" s="23"/>
      <c r="F440" s="22" t="s">
        <v>289</v>
      </c>
      <c r="G440" s="22" t="s">
        <v>20</v>
      </c>
      <c r="H440" s="23" t="s">
        <v>296</v>
      </c>
      <c r="I440" s="48">
        <f>0.124*362</f>
        <v>44.887999999999998</v>
      </c>
      <c r="J440" s="22" t="s">
        <v>18</v>
      </c>
      <c r="K440" s="22" t="s">
        <v>219</v>
      </c>
      <c r="L440" s="22">
        <v>0.8</v>
      </c>
      <c r="M440" s="22" t="s">
        <v>309</v>
      </c>
      <c r="N440" s="22"/>
      <c r="O440" s="57" t="s">
        <v>731</v>
      </c>
      <c r="P440" s="57" t="s">
        <v>731</v>
      </c>
      <c r="Q440" s="57" t="s">
        <v>731</v>
      </c>
    </row>
    <row r="441" spans="1:17" s="18" customFormat="1" ht="12.75">
      <c r="A441" s="96"/>
      <c r="B441" s="22"/>
      <c r="C441" s="27">
        <f>362/18714</f>
        <v>1.9343806775675966E-2</v>
      </c>
      <c r="D441" s="24"/>
      <c r="E441" s="90"/>
      <c r="F441" s="22" t="s">
        <v>289</v>
      </c>
      <c r="G441" s="22" t="s">
        <v>22</v>
      </c>
      <c r="H441" s="23" t="s">
        <v>198</v>
      </c>
      <c r="I441" s="48">
        <f>0.0393*362</f>
        <v>14.226600000000001</v>
      </c>
      <c r="J441" s="22" t="s">
        <v>195</v>
      </c>
      <c r="K441" s="22" t="s">
        <v>219</v>
      </c>
      <c r="L441" s="22">
        <v>1.23</v>
      </c>
      <c r="M441" s="22" t="s">
        <v>310</v>
      </c>
      <c r="N441" s="22"/>
      <c r="O441" s="57" t="s">
        <v>731</v>
      </c>
      <c r="P441" s="57" t="s">
        <v>731</v>
      </c>
      <c r="Q441" s="57" t="s">
        <v>731</v>
      </c>
    </row>
    <row r="442" spans="1:17" s="18" customFormat="1" ht="12.75">
      <c r="A442" s="96"/>
      <c r="B442" s="22"/>
      <c r="C442" s="22"/>
      <c r="D442" s="22"/>
      <c r="E442" s="23"/>
      <c r="F442" s="22" t="s">
        <v>289</v>
      </c>
      <c r="G442" s="22" t="s">
        <v>25</v>
      </c>
      <c r="H442" s="23" t="s">
        <v>212</v>
      </c>
      <c r="I442" s="48">
        <f>0.0092*362</f>
        <v>3.3304</v>
      </c>
      <c r="J442" s="22" t="s">
        <v>18</v>
      </c>
      <c r="K442" s="18" t="s">
        <v>219</v>
      </c>
      <c r="L442" s="22">
        <v>1.1499999999999999</v>
      </c>
      <c r="M442" s="22" t="s">
        <v>311</v>
      </c>
      <c r="N442" s="22"/>
      <c r="O442" s="57" t="s">
        <v>731</v>
      </c>
      <c r="P442" s="57" t="s">
        <v>731</v>
      </c>
      <c r="Q442" s="57" t="s">
        <v>731</v>
      </c>
    </row>
    <row r="443" spans="1:17" s="18" customFormat="1" ht="12.75">
      <c r="A443" s="96"/>
      <c r="B443" s="22"/>
      <c r="C443" s="22"/>
      <c r="D443" s="22"/>
      <c r="E443" s="23"/>
      <c r="F443" s="22" t="s">
        <v>289</v>
      </c>
      <c r="G443" s="22" t="s">
        <v>67</v>
      </c>
      <c r="H443" s="23" t="s">
        <v>301</v>
      </c>
      <c r="I443" s="48">
        <v>0</v>
      </c>
      <c r="J443" s="22" t="s">
        <v>92</v>
      </c>
      <c r="K443" s="18" t="s">
        <v>219</v>
      </c>
      <c r="L443" s="22" t="s">
        <v>308</v>
      </c>
      <c r="M443" s="22" t="s">
        <v>308</v>
      </c>
      <c r="N443" s="22"/>
      <c r="O443" s="57" t="s">
        <v>731</v>
      </c>
      <c r="P443" s="57" t="s">
        <v>731</v>
      </c>
      <c r="Q443" s="57" t="s">
        <v>731</v>
      </c>
    </row>
    <row r="444" spans="1:17" s="18" customFormat="1" ht="12.75">
      <c r="A444" s="96"/>
      <c r="B444" s="22" t="s">
        <v>329</v>
      </c>
      <c r="C444" s="22" t="s">
        <v>332</v>
      </c>
      <c r="D444" s="22" t="s">
        <v>331</v>
      </c>
      <c r="E444" s="23">
        <v>14.4</v>
      </c>
      <c r="F444" s="22" t="s">
        <v>289</v>
      </c>
      <c r="G444" s="22" t="s">
        <v>14</v>
      </c>
      <c r="H444" s="23">
        <v>0</v>
      </c>
      <c r="I444" s="48">
        <f>0.7946*133</f>
        <v>105.6818</v>
      </c>
      <c r="J444" s="22" t="s">
        <v>92</v>
      </c>
      <c r="K444" s="18" t="s">
        <v>219</v>
      </c>
      <c r="L444" s="22">
        <v>1</v>
      </c>
      <c r="M444" s="22" t="s">
        <v>37</v>
      </c>
      <c r="N444" s="22" t="s">
        <v>289</v>
      </c>
      <c r="O444" s="57" t="s">
        <v>731</v>
      </c>
      <c r="P444" s="57" t="s">
        <v>731</v>
      </c>
      <c r="Q444" s="57" t="s">
        <v>731</v>
      </c>
    </row>
    <row r="445" spans="1:17" s="18" customFormat="1" ht="12.75">
      <c r="A445" s="96"/>
      <c r="B445" s="22"/>
      <c r="C445" s="22" t="s">
        <v>292</v>
      </c>
      <c r="D445" s="22"/>
      <c r="E445" s="90"/>
      <c r="F445" s="91" t="s">
        <v>289</v>
      </c>
      <c r="G445" s="22" t="s">
        <v>20</v>
      </c>
      <c r="H445" s="23" t="s">
        <v>296</v>
      </c>
      <c r="I445" s="48">
        <f>0.1311*133</f>
        <v>17.436299999999999</v>
      </c>
      <c r="J445" s="22" t="s">
        <v>195</v>
      </c>
      <c r="K445" s="18" t="s">
        <v>219</v>
      </c>
      <c r="L445" s="22">
        <v>0.71</v>
      </c>
      <c r="M445" s="22" t="s">
        <v>312</v>
      </c>
      <c r="N445" s="22"/>
      <c r="O445" s="57" t="s">
        <v>731</v>
      </c>
      <c r="P445" s="57" t="s">
        <v>731</v>
      </c>
      <c r="Q445" s="57" t="s">
        <v>731</v>
      </c>
    </row>
    <row r="446" spans="1:17" s="18" customFormat="1" ht="12.75">
      <c r="A446" s="96"/>
      <c r="B446" s="22"/>
      <c r="C446" s="25">
        <f>144/18714</f>
        <v>7.6947739660147485E-3</v>
      </c>
      <c r="D446" s="22"/>
      <c r="E446" s="23"/>
      <c r="F446" s="22" t="s">
        <v>289</v>
      </c>
      <c r="G446" s="22" t="s">
        <v>22</v>
      </c>
      <c r="H446" s="23" t="s">
        <v>198</v>
      </c>
      <c r="I446" s="48">
        <f>0.0423*133</f>
        <v>5.6258999999999997</v>
      </c>
      <c r="J446" s="22" t="s">
        <v>18</v>
      </c>
      <c r="K446" s="18" t="s">
        <v>219</v>
      </c>
      <c r="L446" s="22">
        <v>0.51</v>
      </c>
      <c r="M446" s="22" t="s">
        <v>313</v>
      </c>
      <c r="N446" s="22"/>
      <c r="O446" s="57" t="s">
        <v>731</v>
      </c>
      <c r="P446" s="57" t="s">
        <v>731</v>
      </c>
      <c r="Q446" s="57" t="s">
        <v>731</v>
      </c>
    </row>
    <row r="447" spans="1:17" s="18" customFormat="1" ht="12.75">
      <c r="A447" s="96"/>
      <c r="B447" s="22"/>
      <c r="C447" s="22"/>
      <c r="D447" s="22"/>
      <c r="E447" s="23"/>
      <c r="F447" s="22" t="s">
        <v>289</v>
      </c>
      <c r="G447" s="22" t="s">
        <v>25</v>
      </c>
      <c r="H447" s="23" t="s">
        <v>212</v>
      </c>
      <c r="I447" s="48">
        <f>0.032*133</f>
        <v>4.2560000000000002</v>
      </c>
      <c r="J447" s="22" t="s">
        <v>92</v>
      </c>
      <c r="K447" s="18" t="s">
        <v>219</v>
      </c>
      <c r="L447" s="22">
        <v>2.64</v>
      </c>
      <c r="M447" s="22" t="s">
        <v>314</v>
      </c>
      <c r="N447" s="22"/>
      <c r="O447" s="57" t="s">
        <v>731</v>
      </c>
      <c r="P447" s="57" t="s">
        <v>731</v>
      </c>
      <c r="Q447" s="57" t="s">
        <v>731</v>
      </c>
    </row>
    <row r="448" spans="1:17" s="18" customFormat="1" ht="12.75">
      <c r="A448" s="96"/>
      <c r="B448" s="22"/>
      <c r="C448" s="22"/>
      <c r="D448" s="22"/>
      <c r="E448" s="23"/>
      <c r="F448" s="22" t="s">
        <v>289</v>
      </c>
      <c r="G448" s="22" t="s">
        <v>67</v>
      </c>
      <c r="H448" s="23" t="s">
        <v>301</v>
      </c>
      <c r="I448" s="48">
        <v>0</v>
      </c>
      <c r="J448" s="22" t="s">
        <v>92</v>
      </c>
      <c r="K448" s="18" t="s">
        <v>219</v>
      </c>
      <c r="L448" s="22" t="s">
        <v>308</v>
      </c>
      <c r="M448" s="22" t="s">
        <v>308</v>
      </c>
      <c r="N448" s="22"/>
      <c r="O448" s="57" t="s">
        <v>731</v>
      </c>
      <c r="P448" s="57" t="s">
        <v>731</v>
      </c>
      <c r="Q448" s="57" t="s">
        <v>731</v>
      </c>
    </row>
    <row r="449" spans="1:17" s="18" customFormat="1" ht="12.75">
      <c r="A449" s="96"/>
      <c r="B449" s="22" t="s">
        <v>329</v>
      </c>
      <c r="C449" s="22" t="s">
        <v>334</v>
      </c>
      <c r="D449" s="22" t="s">
        <v>331</v>
      </c>
      <c r="E449" s="23">
        <v>14.4</v>
      </c>
      <c r="F449" s="22" t="s">
        <v>317</v>
      </c>
      <c r="G449" s="22" t="s">
        <v>14</v>
      </c>
      <c r="H449" s="23">
        <v>0</v>
      </c>
      <c r="I449" s="48">
        <f>0.8036*352</f>
        <v>282.86719999999997</v>
      </c>
      <c r="J449" s="22" t="s">
        <v>53</v>
      </c>
      <c r="K449" s="22" t="s">
        <v>23</v>
      </c>
      <c r="L449" s="22">
        <v>1</v>
      </c>
      <c r="M449" s="22" t="s">
        <v>21</v>
      </c>
      <c r="N449" s="22"/>
      <c r="O449" s="57" t="s">
        <v>731</v>
      </c>
      <c r="P449" s="57" t="s">
        <v>731</v>
      </c>
      <c r="Q449" s="57" t="s">
        <v>731</v>
      </c>
    </row>
    <row r="450" spans="1:17" s="18" customFormat="1" ht="12.75">
      <c r="A450" s="96"/>
      <c r="B450" s="22"/>
      <c r="C450" s="22" t="s">
        <v>320</v>
      </c>
      <c r="D450" s="22"/>
      <c r="E450" s="23"/>
      <c r="F450" s="22" t="s">
        <v>317</v>
      </c>
      <c r="G450" s="22" t="s">
        <v>20</v>
      </c>
      <c r="H450" s="23" t="s">
        <v>296</v>
      </c>
      <c r="I450" s="48">
        <f>0.1551*352</f>
        <v>54.595199999999998</v>
      </c>
      <c r="J450" s="22" t="s">
        <v>53</v>
      </c>
      <c r="K450" s="22" t="s">
        <v>23</v>
      </c>
      <c r="L450" s="22">
        <v>0.81</v>
      </c>
      <c r="M450" s="22" t="s">
        <v>321</v>
      </c>
      <c r="N450" s="22" t="s">
        <v>18</v>
      </c>
      <c r="O450" s="57" t="s">
        <v>731</v>
      </c>
      <c r="P450" s="57" t="s">
        <v>731</v>
      </c>
      <c r="Q450" s="57" t="s">
        <v>731</v>
      </c>
    </row>
    <row r="451" spans="1:17" s="18" customFormat="1" ht="12.75">
      <c r="A451" s="96"/>
      <c r="B451" s="22"/>
      <c r="C451" s="27">
        <f>352/18714</f>
        <v>1.8809447472480496E-2</v>
      </c>
      <c r="D451" s="22"/>
      <c r="E451" s="23"/>
      <c r="F451" s="22" t="s">
        <v>317</v>
      </c>
      <c r="G451" s="22" t="s">
        <v>22</v>
      </c>
      <c r="H451" s="23" t="s">
        <v>198</v>
      </c>
      <c r="I451" s="48">
        <f>0.0361*352</f>
        <v>12.7072</v>
      </c>
      <c r="J451" s="22" t="s">
        <v>53</v>
      </c>
      <c r="K451" s="22" t="s">
        <v>23</v>
      </c>
      <c r="L451" s="22">
        <v>0.81</v>
      </c>
      <c r="M451" s="22" t="s">
        <v>322</v>
      </c>
      <c r="N451" s="22"/>
      <c r="O451" s="57" t="s">
        <v>731</v>
      </c>
      <c r="P451" s="57" t="s">
        <v>731</v>
      </c>
      <c r="Q451" s="57" t="s">
        <v>731</v>
      </c>
    </row>
    <row r="452" spans="1:17" s="18" customFormat="1" ht="12.75">
      <c r="A452" s="96"/>
      <c r="B452" s="22"/>
      <c r="C452" s="22"/>
      <c r="D452" s="22"/>
      <c r="E452" s="23"/>
      <c r="F452" s="22" t="s">
        <v>317</v>
      </c>
      <c r="G452" s="22" t="s">
        <v>25</v>
      </c>
      <c r="H452" s="23" t="s">
        <v>212</v>
      </c>
      <c r="I452" s="48">
        <f>0.0052*352</f>
        <v>1.8304</v>
      </c>
      <c r="J452" s="22" t="s">
        <v>53</v>
      </c>
      <c r="K452" s="22" t="s">
        <v>23</v>
      </c>
      <c r="L452" s="22">
        <v>0.42</v>
      </c>
      <c r="M452" s="22" t="s">
        <v>323</v>
      </c>
      <c r="N452" s="22"/>
      <c r="O452" s="57" t="s">
        <v>731</v>
      </c>
      <c r="P452" s="57" t="s">
        <v>731</v>
      </c>
      <c r="Q452" s="57" t="s">
        <v>731</v>
      </c>
    </row>
    <row r="453" spans="1:17" s="18" customFormat="1" ht="12.75">
      <c r="A453" s="96"/>
      <c r="B453" s="22"/>
      <c r="C453" s="22"/>
      <c r="D453" s="22"/>
      <c r="E453" s="23"/>
      <c r="F453" s="22" t="s">
        <v>317</v>
      </c>
      <c r="G453" s="22" t="s">
        <v>67</v>
      </c>
      <c r="H453" s="23" t="s">
        <v>301</v>
      </c>
      <c r="I453" s="48">
        <v>0</v>
      </c>
      <c r="J453" s="22" t="s">
        <v>53</v>
      </c>
      <c r="K453" s="22" t="s">
        <v>23</v>
      </c>
      <c r="L453" s="22" t="s">
        <v>45</v>
      </c>
      <c r="M453" s="22" t="s">
        <v>45</v>
      </c>
      <c r="N453" s="22"/>
      <c r="O453" s="57" t="s">
        <v>731</v>
      </c>
      <c r="P453" s="57" t="s">
        <v>731</v>
      </c>
      <c r="Q453" s="57" t="s">
        <v>731</v>
      </c>
    </row>
    <row r="454" spans="1:17" s="49" customFormat="1" ht="12.75">
      <c r="A454" s="97" t="s">
        <v>753</v>
      </c>
      <c r="B454" s="1" t="s">
        <v>688</v>
      </c>
      <c r="C454" s="4" t="s">
        <v>705</v>
      </c>
      <c r="D454" s="4" t="s">
        <v>689</v>
      </c>
      <c r="E454" s="2">
        <v>10.6</v>
      </c>
      <c r="F454" s="4" t="s">
        <v>53</v>
      </c>
      <c r="G454" s="6" t="s">
        <v>683</v>
      </c>
      <c r="H454" s="32" t="s">
        <v>684</v>
      </c>
      <c r="I454" s="7" t="s">
        <v>53</v>
      </c>
      <c r="J454" s="7" t="s">
        <v>53</v>
      </c>
      <c r="K454" s="7" t="s">
        <v>16</v>
      </c>
      <c r="L454" s="7">
        <v>1</v>
      </c>
      <c r="M454" s="7" t="s">
        <v>21</v>
      </c>
      <c r="N454" s="4">
        <v>3.1E-2</v>
      </c>
      <c r="O454" s="53" t="s">
        <v>731</v>
      </c>
      <c r="P454" s="53" t="s">
        <v>731</v>
      </c>
      <c r="Q454" s="53" t="s">
        <v>731</v>
      </c>
    </row>
    <row r="455" spans="1:17" s="49" customFormat="1" ht="12.75">
      <c r="A455" s="97"/>
      <c r="B455" s="1"/>
      <c r="C455" s="4" t="s">
        <v>685</v>
      </c>
      <c r="D455" s="4"/>
      <c r="E455" s="1"/>
      <c r="F455" s="4" t="s">
        <v>53</v>
      </c>
      <c r="G455" s="6" t="s">
        <v>20</v>
      </c>
      <c r="H455" s="32" t="s">
        <v>686</v>
      </c>
      <c r="I455" s="7" t="s">
        <v>53</v>
      </c>
      <c r="J455" s="7" t="s">
        <v>53</v>
      </c>
      <c r="K455" s="7" t="s">
        <v>16</v>
      </c>
      <c r="L455" s="7">
        <v>1.49</v>
      </c>
      <c r="M455" s="33" t="s">
        <v>755</v>
      </c>
      <c r="N455" s="4"/>
      <c r="O455" s="53" t="s">
        <v>731</v>
      </c>
      <c r="P455" s="53" t="s">
        <v>731</v>
      </c>
      <c r="Q455" s="53" t="s">
        <v>731</v>
      </c>
    </row>
    <row r="456" spans="1:17" s="49" customFormat="1" ht="12.75">
      <c r="A456" s="97"/>
      <c r="B456" s="1"/>
      <c r="C456" s="8">
        <f>132/1772</f>
        <v>7.4492099322799099E-2</v>
      </c>
      <c r="D456" s="4"/>
      <c r="E456" s="1"/>
      <c r="F456" s="4" t="s">
        <v>53</v>
      </c>
      <c r="G456" s="6" t="s">
        <v>14</v>
      </c>
      <c r="H456" s="32" t="s">
        <v>687</v>
      </c>
      <c r="I456" s="7" t="s">
        <v>53</v>
      </c>
      <c r="J456" s="7" t="s">
        <v>53</v>
      </c>
      <c r="K456" s="7" t="s">
        <v>16</v>
      </c>
      <c r="L456" s="7">
        <v>1.52</v>
      </c>
      <c r="M456" s="33" t="s">
        <v>756</v>
      </c>
      <c r="N456" s="4"/>
      <c r="O456" s="53" t="s">
        <v>731</v>
      </c>
      <c r="P456" s="53" t="s">
        <v>731</v>
      </c>
      <c r="Q456" s="53" t="s">
        <v>731</v>
      </c>
    </row>
    <row r="457" spans="1:17" s="18" customFormat="1" ht="12.75">
      <c r="A457" s="96" t="s">
        <v>736</v>
      </c>
      <c r="B457" s="18" t="s">
        <v>49</v>
      </c>
      <c r="C457" s="18" t="s">
        <v>12</v>
      </c>
      <c r="D457" s="18" t="s">
        <v>13</v>
      </c>
      <c r="E457" s="20">
        <v>12</v>
      </c>
      <c r="F457" s="18">
        <v>397388</v>
      </c>
      <c r="G457" s="18" t="s">
        <v>14</v>
      </c>
      <c r="H457" s="20" t="s">
        <v>60</v>
      </c>
      <c r="I457" s="18">
        <v>918</v>
      </c>
      <c r="J457" s="18" t="s">
        <v>18</v>
      </c>
      <c r="K457" s="18" t="s">
        <v>61</v>
      </c>
      <c r="L457" s="18">
        <v>1</v>
      </c>
      <c r="M457" s="18" t="s">
        <v>37</v>
      </c>
      <c r="N457" s="18">
        <v>0.37</v>
      </c>
      <c r="O457" s="54">
        <v>495.67</v>
      </c>
      <c r="P457" s="55">
        <v>3822.86</v>
      </c>
      <c r="Q457" s="18" t="s">
        <v>732</v>
      </c>
    </row>
    <row r="458" spans="1:17" s="18" customFormat="1" ht="12.75">
      <c r="A458" s="96"/>
      <c r="C458" s="18" t="s">
        <v>62</v>
      </c>
      <c r="E458" s="20"/>
      <c r="F458" s="18">
        <v>397012</v>
      </c>
      <c r="G458" s="18" t="s">
        <v>20</v>
      </c>
      <c r="H458" s="20">
        <v>532</v>
      </c>
      <c r="I458" s="18">
        <v>785</v>
      </c>
      <c r="J458" s="18" t="s">
        <v>18</v>
      </c>
      <c r="K458" s="18" t="s">
        <v>61</v>
      </c>
      <c r="L458" s="18">
        <v>0.99</v>
      </c>
      <c r="M458" s="18" t="s">
        <v>63</v>
      </c>
      <c r="O458" s="54">
        <v>1379.84</v>
      </c>
      <c r="P458" s="55">
        <v>10749.49</v>
      </c>
      <c r="Q458" s="18" t="s">
        <v>732</v>
      </c>
    </row>
    <row r="459" spans="1:17" s="18" customFormat="1" ht="12.75">
      <c r="A459" s="96"/>
      <c r="C459" s="92">
        <f>3874/16170</f>
        <v>0.23957946815089673</v>
      </c>
      <c r="D459" s="92"/>
      <c r="E459" s="20"/>
      <c r="F459" s="18">
        <v>392567</v>
      </c>
      <c r="G459" s="18" t="s">
        <v>22</v>
      </c>
      <c r="H459" s="20">
        <v>648</v>
      </c>
      <c r="I459" s="18">
        <v>700</v>
      </c>
      <c r="J459" s="18" t="s">
        <v>18</v>
      </c>
      <c r="K459" s="18" t="s">
        <v>61</v>
      </c>
      <c r="L459" s="18">
        <v>0.94</v>
      </c>
      <c r="M459" s="18" t="s">
        <v>64</v>
      </c>
      <c r="O459" s="54">
        <v>983.57</v>
      </c>
      <c r="P459" s="55">
        <v>8069.92</v>
      </c>
      <c r="Q459" s="18" t="s">
        <v>732</v>
      </c>
    </row>
    <row r="460" spans="1:17" s="18" customFormat="1" ht="12.75">
      <c r="A460" s="96"/>
      <c r="E460" s="20"/>
      <c r="F460" s="18">
        <v>392622</v>
      </c>
      <c r="G460" s="18" t="s">
        <v>25</v>
      </c>
      <c r="H460" s="20">
        <v>798</v>
      </c>
      <c r="I460" s="18">
        <v>708</v>
      </c>
      <c r="J460" s="18" t="s">
        <v>92</v>
      </c>
      <c r="K460" s="18" t="s">
        <v>65</v>
      </c>
      <c r="L460" s="18">
        <v>0.99</v>
      </c>
      <c r="M460" s="18" t="s">
        <v>66</v>
      </c>
      <c r="O460" s="54">
        <v>748.34</v>
      </c>
      <c r="P460" s="55">
        <v>5829.85</v>
      </c>
      <c r="Q460" s="18" t="s">
        <v>732</v>
      </c>
    </row>
    <row r="461" spans="1:17" s="18" customFormat="1" ht="12.75">
      <c r="A461" s="96"/>
      <c r="E461" s="20"/>
      <c r="F461" s="18">
        <v>386100</v>
      </c>
      <c r="G461" s="18" t="s">
        <v>67</v>
      </c>
      <c r="H461" s="20">
        <v>1101</v>
      </c>
      <c r="I461" s="18">
        <v>763</v>
      </c>
      <c r="J461" s="18" t="s">
        <v>92</v>
      </c>
      <c r="K461" s="18" t="s">
        <v>65</v>
      </c>
      <c r="L461" s="18">
        <v>1.04</v>
      </c>
      <c r="M461" s="18" t="s">
        <v>68</v>
      </c>
      <c r="O461" s="54">
        <v>971.97</v>
      </c>
      <c r="P461" s="55">
        <v>7207.94</v>
      </c>
      <c r="Q461" s="18" t="s">
        <v>732</v>
      </c>
    </row>
    <row r="462" spans="1:17" s="18" customFormat="1" ht="12.75">
      <c r="A462" s="96"/>
      <c r="B462" s="18" t="s">
        <v>11</v>
      </c>
      <c r="C462" s="18" t="s">
        <v>704</v>
      </c>
      <c r="D462" s="18" t="s">
        <v>56</v>
      </c>
      <c r="E462" s="20">
        <v>12</v>
      </c>
      <c r="F462" s="18">
        <v>397388</v>
      </c>
      <c r="G462" s="18" t="s">
        <v>69</v>
      </c>
      <c r="H462" s="20" t="s">
        <v>60</v>
      </c>
      <c r="I462" s="18">
        <v>692</v>
      </c>
      <c r="J462" s="18" t="s">
        <v>18</v>
      </c>
      <c r="K462" s="18" t="s">
        <v>61</v>
      </c>
      <c r="L462" s="18">
        <v>1</v>
      </c>
      <c r="M462" s="18" t="s">
        <v>37</v>
      </c>
      <c r="N462" s="18">
        <v>0.93</v>
      </c>
      <c r="O462" s="18" t="s">
        <v>732</v>
      </c>
      <c r="P462" s="18" t="s">
        <v>732</v>
      </c>
      <c r="Q462" s="18" t="s">
        <v>732</v>
      </c>
    </row>
    <row r="463" spans="1:17" s="18" customFormat="1" ht="12.75">
      <c r="A463" s="96"/>
      <c r="C463" s="18" t="s">
        <v>70</v>
      </c>
      <c r="E463" s="20"/>
      <c r="F463" s="18">
        <v>397012</v>
      </c>
      <c r="G463" s="18" t="s">
        <v>20</v>
      </c>
      <c r="H463" s="20">
        <v>532</v>
      </c>
      <c r="I463" s="18">
        <v>557</v>
      </c>
      <c r="J463" s="18" t="s">
        <v>18</v>
      </c>
      <c r="K463" s="18" t="s">
        <v>61</v>
      </c>
      <c r="L463" s="18">
        <v>0.94</v>
      </c>
      <c r="M463" s="18" t="s">
        <v>71</v>
      </c>
      <c r="O463" s="18" t="s">
        <v>732</v>
      </c>
      <c r="P463" s="18" t="s">
        <v>732</v>
      </c>
      <c r="Q463" s="18" t="s">
        <v>732</v>
      </c>
    </row>
    <row r="464" spans="1:17" s="18" customFormat="1" ht="12.75">
      <c r="A464" s="96"/>
      <c r="C464" s="93">
        <f>2777/16170</f>
        <v>0.17173778602350032</v>
      </c>
      <c r="E464" s="20"/>
      <c r="F464" s="18">
        <v>392567</v>
      </c>
      <c r="G464" s="18" t="s">
        <v>22</v>
      </c>
      <c r="H464" s="20">
        <v>648</v>
      </c>
      <c r="I464" s="18">
        <v>497</v>
      </c>
      <c r="J464" s="18" t="s">
        <v>18</v>
      </c>
      <c r="K464" s="18" t="s">
        <v>61</v>
      </c>
      <c r="L464" s="18">
        <v>0.9</v>
      </c>
      <c r="M464" s="18" t="s">
        <v>72</v>
      </c>
      <c r="O464" s="18" t="s">
        <v>732</v>
      </c>
      <c r="P464" s="18" t="s">
        <v>732</v>
      </c>
      <c r="Q464" s="18" t="s">
        <v>732</v>
      </c>
    </row>
    <row r="465" spans="1:17" s="18" customFormat="1" ht="12.75">
      <c r="A465" s="96"/>
      <c r="E465" s="20"/>
      <c r="F465" s="18">
        <v>392622</v>
      </c>
      <c r="G465" s="18" t="s">
        <v>25</v>
      </c>
      <c r="H465" s="20">
        <v>798</v>
      </c>
      <c r="I465" s="18">
        <v>495</v>
      </c>
      <c r="J465" s="18" t="s">
        <v>92</v>
      </c>
      <c r="K465" s="18" t="s">
        <v>65</v>
      </c>
      <c r="L465" s="18">
        <v>0.94</v>
      </c>
      <c r="M465" s="18" t="s">
        <v>73</v>
      </c>
      <c r="O465" s="18" t="s">
        <v>732</v>
      </c>
      <c r="P465" s="18" t="s">
        <v>732</v>
      </c>
      <c r="Q465" s="18" t="s">
        <v>732</v>
      </c>
    </row>
    <row r="466" spans="1:17" s="18" customFormat="1" ht="12.75">
      <c r="A466" s="96"/>
      <c r="E466" s="20"/>
      <c r="F466" s="18">
        <v>386100</v>
      </c>
      <c r="G466" s="18" t="s">
        <v>67</v>
      </c>
      <c r="H466" s="20">
        <v>1101</v>
      </c>
      <c r="I466" s="18">
        <v>536</v>
      </c>
      <c r="J466" s="18" t="s">
        <v>92</v>
      </c>
      <c r="K466" s="18" t="s">
        <v>65</v>
      </c>
      <c r="L466" s="18">
        <v>0.99</v>
      </c>
      <c r="M466" s="18" t="s">
        <v>74</v>
      </c>
      <c r="O466" s="18" t="s">
        <v>732</v>
      </c>
      <c r="P466" s="18" t="s">
        <v>732</v>
      </c>
      <c r="Q466" s="18" t="s">
        <v>732</v>
      </c>
    </row>
    <row r="467" spans="1:17" s="18" customFormat="1" ht="12.75">
      <c r="A467" s="96"/>
      <c r="B467" s="18" t="s">
        <v>11</v>
      </c>
      <c r="C467" s="18" t="s">
        <v>88</v>
      </c>
      <c r="D467" s="18" t="s">
        <v>56</v>
      </c>
      <c r="E467" s="20">
        <v>12</v>
      </c>
      <c r="F467" s="18">
        <v>397388</v>
      </c>
      <c r="G467" s="18" t="s">
        <v>69</v>
      </c>
      <c r="H467" s="20" t="s">
        <v>60</v>
      </c>
      <c r="I467" s="18">
        <v>170</v>
      </c>
      <c r="J467" s="18" t="s">
        <v>18</v>
      </c>
      <c r="K467" s="18" t="s">
        <v>61</v>
      </c>
      <c r="L467" s="18">
        <v>1</v>
      </c>
      <c r="M467" s="18" t="s">
        <v>37</v>
      </c>
      <c r="N467" s="18">
        <v>0.22</v>
      </c>
      <c r="O467" s="54">
        <v>139.49199999999999</v>
      </c>
      <c r="P467" s="55">
        <v>2959.85</v>
      </c>
      <c r="Q467" s="18" t="s">
        <v>732</v>
      </c>
    </row>
    <row r="468" spans="1:17" s="18" customFormat="1" ht="12.75">
      <c r="A468" s="96"/>
      <c r="C468" s="18" t="s">
        <v>89</v>
      </c>
      <c r="E468" s="20"/>
      <c r="F468" s="18">
        <v>397012</v>
      </c>
      <c r="G468" s="18" t="s">
        <v>20</v>
      </c>
      <c r="H468" s="20">
        <v>532</v>
      </c>
      <c r="I468" s="18">
        <v>189</v>
      </c>
      <c r="J468" s="18" t="s">
        <v>18</v>
      </c>
      <c r="K468" s="18" t="s">
        <v>61</v>
      </c>
      <c r="L468" s="18">
        <v>1.23</v>
      </c>
      <c r="M468" s="18" t="s">
        <v>90</v>
      </c>
      <c r="O468" s="54">
        <v>205.74600000000001</v>
      </c>
      <c r="P468" s="55">
        <v>3549.33</v>
      </c>
      <c r="Q468" s="18" t="s">
        <v>732</v>
      </c>
    </row>
    <row r="469" spans="1:17" s="18" customFormat="1" ht="12.75">
      <c r="A469" s="96"/>
      <c r="C469" s="21">
        <f>860/16170</f>
        <v>5.3184910327767468E-2</v>
      </c>
      <c r="E469" s="20"/>
      <c r="F469" s="18">
        <v>392567</v>
      </c>
      <c r="G469" s="18" t="s">
        <v>22</v>
      </c>
      <c r="H469" s="20">
        <v>648</v>
      </c>
      <c r="I469" s="18">
        <v>149</v>
      </c>
      <c r="J469" s="18" t="s">
        <v>18</v>
      </c>
      <c r="K469" s="18" t="s">
        <v>61</v>
      </c>
      <c r="L469" s="18">
        <v>1.01</v>
      </c>
      <c r="M469" s="18" t="s">
        <v>91</v>
      </c>
      <c r="O469" s="54">
        <v>150.405</v>
      </c>
      <c r="P469" s="55">
        <v>3159.81</v>
      </c>
      <c r="Q469" s="18" t="s">
        <v>732</v>
      </c>
    </row>
    <row r="470" spans="1:17" s="18" customFormat="1" ht="12.75">
      <c r="A470" s="96"/>
      <c r="E470" s="20"/>
      <c r="F470" s="18">
        <v>392622</v>
      </c>
      <c r="G470" s="18" t="s">
        <v>25</v>
      </c>
      <c r="H470" s="20">
        <v>798</v>
      </c>
      <c r="I470" s="18">
        <v>174</v>
      </c>
      <c r="J470" s="18" t="s">
        <v>92</v>
      </c>
      <c r="K470" s="18" t="s">
        <v>65</v>
      </c>
      <c r="L470" s="18">
        <v>1.21</v>
      </c>
      <c r="M470" s="18" t="s">
        <v>93</v>
      </c>
      <c r="O470" s="54">
        <v>159.39599999999999</v>
      </c>
      <c r="P470" s="55">
        <v>2795.19</v>
      </c>
      <c r="Q470" s="18" t="s">
        <v>732</v>
      </c>
    </row>
    <row r="471" spans="1:17" s="18" customFormat="1" ht="12.75">
      <c r="A471" s="96"/>
      <c r="E471" s="20"/>
      <c r="F471" s="18">
        <v>386100</v>
      </c>
      <c r="G471" s="18" t="s">
        <v>67</v>
      </c>
      <c r="H471" s="20">
        <v>1101</v>
      </c>
      <c r="I471" s="18">
        <v>178</v>
      </c>
      <c r="J471" s="18" t="s">
        <v>92</v>
      </c>
      <c r="K471" s="18" t="s">
        <v>65</v>
      </c>
      <c r="L471" s="18">
        <v>1.2</v>
      </c>
      <c r="M471" s="18" t="s">
        <v>94</v>
      </c>
      <c r="O471" s="54">
        <v>132.05600000000001</v>
      </c>
      <c r="P471" s="55">
        <v>2335.0500000000002</v>
      </c>
      <c r="Q471" s="18" t="s">
        <v>732</v>
      </c>
    </row>
    <row r="472" spans="1:17" s="18" customFormat="1" ht="12.75">
      <c r="A472" s="96"/>
      <c r="B472" s="18" t="s">
        <v>75</v>
      </c>
      <c r="C472" s="18" t="s">
        <v>12</v>
      </c>
      <c r="D472" s="18" t="s">
        <v>13</v>
      </c>
      <c r="E472" s="20">
        <v>12</v>
      </c>
      <c r="F472" s="18">
        <v>527379</v>
      </c>
      <c r="G472" s="18" t="s">
        <v>14</v>
      </c>
      <c r="H472" s="20" t="s">
        <v>76</v>
      </c>
      <c r="I472" s="18">
        <v>1879</v>
      </c>
      <c r="J472" s="18" t="s">
        <v>18</v>
      </c>
      <c r="K472" s="18" t="s">
        <v>61</v>
      </c>
      <c r="L472" s="18">
        <v>1</v>
      </c>
      <c r="M472" s="18" t="s">
        <v>77</v>
      </c>
      <c r="N472" s="18">
        <v>0.08</v>
      </c>
      <c r="O472" s="54">
        <v>936.99</v>
      </c>
      <c r="P472" s="55">
        <v>2502.5</v>
      </c>
      <c r="Q472" s="18" t="s">
        <v>732</v>
      </c>
    </row>
    <row r="473" spans="1:17" s="18" customFormat="1" ht="12.75">
      <c r="A473" s="96"/>
      <c r="C473" s="18" t="s">
        <v>78</v>
      </c>
      <c r="E473" s="20"/>
      <c r="F473" s="18">
        <v>516857</v>
      </c>
      <c r="G473" s="18" t="s">
        <v>20</v>
      </c>
      <c r="H473" s="20">
        <v>616</v>
      </c>
      <c r="I473" s="18">
        <v>1550</v>
      </c>
      <c r="J473" s="18" t="s">
        <v>18</v>
      </c>
      <c r="K473" s="18" t="s">
        <v>61</v>
      </c>
      <c r="L473" s="18">
        <v>0.91</v>
      </c>
      <c r="M473" s="18" t="s">
        <v>79</v>
      </c>
      <c r="O473" s="54">
        <v>1013.55</v>
      </c>
      <c r="P473" s="55">
        <v>2974.72</v>
      </c>
      <c r="Q473" s="18" t="s">
        <v>732</v>
      </c>
    </row>
    <row r="474" spans="1:17" s="18" customFormat="1" ht="12.75">
      <c r="A474" s="96"/>
      <c r="C474" s="92">
        <f>7904/21905</f>
        <v>0.36083086053412461</v>
      </c>
      <c r="D474" s="92"/>
      <c r="E474" s="20"/>
      <c r="F474" s="18">
        <v>502994</v>
      </c>
      <c r="G474" s="18" t="s">
        <v>22</v>
      </c>
      <c r="H474" s="20">
        <v>739</v>
      </c>
      <c r="I474" s="18">
        <v>1519</v>
      </c>
      <c r="J474" s="18" t="s">
        <v>18</v>
      </c>
      <c r="K474" s="18" t="s">
        <v>61</v>
      </c>
      <c r="L474" s="18">
        <v>0.96</v>
      </c>
      <c r="M474" s="18" t="s">
        <v>80</v>
      </c>
      <c r="O474" s="54">
        <v>888.01</v>
      </c>
      <c r="P474" s="55">
        <v>2470.5</v>
      </c>
      <c r="Q474" s="18" t="s">
        <v>732</v>
      </c>
    </row>
    <row r="475" spans="1:17" s="18" customFormat="1" ht="12.75">
      <c r="A475" s="96"/>
      <c r="E475" s="20"/>
      <c r="F475" s="18">
        <v>489449</v>
      </c>
      <c r="G475" s="18" t="s">
        <v>25</v>
      </c>
      <c r="H475" s="20">
        <v>898</v>
      </c>
      <c r="I475" s="18">
        <v>1400</v>
      </c>
      <c r="J475" s="18" t="s">
        <v>92</v>
      </c>
      <c r="K475" s="18" t="s">
        <v>65</v>
      </c>
      <c r="L475" s="18">
        <v>0.92</v>
      </c>
      <c r="M475" s="18" t="s">
        <v>81</v>
      </c>
      <c r="O475" s="54">
        <v>775.57</v>
      </c>
      <c r="P475" s="55">
        <v>2251.5100000000002</v>
      </c>
      <c r="Q475" s="18" t="s">
        <v>732</v>
      </c>
    </row>
    <row r="476" spans="1:17" s="18" customFormat="1" ht="12.75">
      <c r="A476" s="96"/>
      <c r="E476" s="20"/>
      <c r="F476" s="18">
        <v>467990</v>
      </c>
      <c r="G476" s="18" t="s">
        <v>67</v>
      </c>
      <c r="H476" s="20">
        <v>1247</v>
      </c>
      <c r="I476" s="18">
        <v>1556</v>
      </c>
      <c r="J476" s="18" t="s">
        <v>92</v>
      </c>
      <c r="K476" s="18" t="s">
        <v>65</v>
      </c>
      <c r="L476" s="18">
        <v>1.04</v>
      </c>
      <c r="M476" s="18" t="s">
        <v>82</v>
      </c>
      <c r="O476" s="54">
        <v>900.78</v>
      </c>
      <c r="P476" s="55">
        <v>2313.2600000000002</v>
      </c>
      <c r="Q476" s="18" t="s">
        <v>732</v>
      </c>
    </row>
    <row r="477" spans="1:17" s="18" customFormat="1" ht="12.75">
      <c r="A477" s="96"/>
      <c r="B477" s="18" t="s">
        <v>75</v>
      </c>
      <c r="C477" s="18" t="s">
        <v>83</v>
      </c>
      <c r="D477" s="18" t="s">
        <v>13</v>
      </c>
      <c r="E477" s="20">
        <v>12</v>
      </c>
      <c r="F477" s="18">
        <v>527379</v>
      </c>
      <c r="G477" s="18" t="s">
        <v>14</v>
      </c>
      <c r="H477" s="20" t="s">
        <v>76</v>
      </c>
      <c r="I477" s="18">
        <v>1496</v>
      </c>
      <c r="J477" s="18" t="s">
        <v>18</v>
      </c>
      <c r="K477" s="18" t="s">
        <v>61</v>
      </c>
      <c r="L477" s="18">
        <v>1</v>
      </c>
      <c r="M477" s="18" t="s">
        <v>37</v>
      </c>
      <c r="N477" s="18">
        <v>0.04</v>
      </c>
      <c r="O477" s="18" t="s">
        <v>732</v>
      </c>
      <c r="P477" s="18" t="s">
        <v>732</v>
      </c>
      <c r="Q477" s="18" t="s">
        <v>732</v>
      </c>
    </row>
    <row r="478" spans="1:17" s="18" customFormat="1" ht="12.75">
      <c r="A478" s="96"/>
      <c r="C478" s="18" t="s">
        <v>101</v>
      </c>
      <c r="E478" s="20"/>
      <c r="F478" s="18">
        <v>516857</v>
      </c>
      <c r="G478" s="18" t="s">
        <v>20</v>
      </c>
      <c r="H478" s="20">
        <v>616</v>
      </c>
      <c r="I478" s="18">
        <v>1204</v>
      </c>
      <c r="J478" s="18" t="s">
        <v>18</v>
      </c>
      <c r="K478" s="18" t="s">
        <v>61</v>
      </c>
      <c r="L478" s="18">
        <v>0.89</v>
      </c>
      <c r="M478" s="18" t="s">
        <v>84</v>
      </c>
      <c r="O478" s="18" t="s">
        <v>732</v>
      </c>
      <c r="P478" s="18" t="s">
        <v>732</v>
      </c>
      <c r="Q478" s="18" t="s">
        <v>732</v>
      </c>
    </row>
    <row r="479" spans="1:17" s="18" customFormat="1" ht="12.75">
      <c r="A479" s="96"/>
      <c r="C479" s="93">
        <f>6282/21905</f>
        <v>0.28678383930609452</v>
      </c>
      <c r="E479" s="20"/>
      <c r="F479" s="18">
        <v>502994</v>
      </c>
      <c r="G479" s="18" t="s">
        <v>22</v>
      </c>
      <c r="H479" s="20">
        <v>739</v>
      </c>
      <c r="I479" s="18">
        <v>1223</v>
      </c>
      <c r="J479" s="18" t="s">
        <v>18</v>
      </c>
      <c r="K479" s="18" t="s">
        <v>65</v>
      </c>
      <c r="L479" s="18">
        <v>0.97</v>
      </c>
      <c r="M479" s="18" t="s">
        <v>85</v>
      </c>
      <c r="O479" s="18" t="s">
        <v>732</v>
      </c>
      <c r="P479" s="18" t="s">
        <v>732</v>
      </c>
      <c r="Q479" s="18" t="s">
        <v>732</v>
      </c>
    </row>
    <row r="480" spans="1:17" s="18" customFormat="1" ht="12.75">
      <c r="A480" s="96"/>
      <c r="E480" s="20"/>
      <c r="F480" s="18">
        <v>489449</v>
      </c>
      <c r="G480" s="18" t="s">
        <v>25</v>
      </c>
      <c r="H480" s="20">
        <v>898</v>
      </c>
      <c r="I480" s="18">
        <v>1110</v>
      </c>
      <c r="J480" s="18" t="s">
        <v>92</v>
      </c>
      <c r="K480" s="18" t="s">
        <v>65</v>
      </c>
      <c r="L480" s="18">
        <v>0.92</v>
      </c>
      <c r="M480" s="18" t="s">
        <v>86</v>
      </c>
      <c r="O480" s="18" t="s">
        <v>732</v>
      </c>
      <c r="P480" s="18" t="s">
        <v>732</v>
      </c>
      <c r="Q480" s="18" t="s">
        <v>732</v>
      </c>
    </row>
    <row r="481" spans="1:17" s="18" customFormat="1" ht="12.75">
      <c r="A481" s="96"/>
      <c r="E481" s="20"/>
      <c r="F481" s="18">
        <v>467990</v>
      </c>
      <c r="G481" s="18" t="s">
        <v>67</v>
      </c>
      <c r="H481" s="20">
        <v>1247</v>
      </c>
      <c r="I481" s="18">
        <v>1249</v>
      </c>
      <c r="J481" s="18" t="s">
        <v>92</v>
      </c>
      <c r="K481" s="18" t="s">
        <v>65</v>
      </c>
      <c r="L481" s="18">
        <v>1.06</v>
      </c>
      <c r="M481" s="18" t="s">
        <v>87</v>
      </c>
      <c r="O481" s="18" t="s">
        <v>732</v>
      </c>
      <c r="P481" s="18" t="s">
        <v>732</v>
      </c>
      <c r="Q481" s="18" t="s">
        <v>732</v>
      </c>
    </row>
    <row r="482" spans="1:17" s="18" customFormat="1" ht="12.75">
      <c r="A482" s="96"/>
      <c r="B482" s="18" t="s">
        <v>75</v>
      </c>
      <c r="C482" s="18" t="s">
        <v>99</v>
      </c>
      <c r="D482" s="18" t="s">
        <v>13</v>
      </c>
      <c r="E482" s="20">
        <v>12</v>
      </c>
      <c r="F482" s="18">
        <v>527379</v>
      </c>
      <c r="G482" s="18" t="s">
        <v>69</v>
      </c>
      <c r="H482" s="20" t="s">
        <v>76</v>
      </c>
      <c r="I482" s="18">
        <v>268</v>
      </c>
      <c r="J482" s="18" t="s">
        <v>18</v>
      </c>
      <c r="K482" s="18" t="s">
        <v>61</v>
      </c>
      <c r="L482" s="18">
        <v>1</v>
      </c>
      <c r="M482" s="18" t="s">
        <v>37</v>
      </c>
      <c r="N482" s="18">
        <v>0.63</v>
      </c>
      <c r="O482" s="54">
        <v>219.435</v>
      </c>
      <c r="P482" s="55">
        <v>3963.42</v>
      </c>
      <c r="Q482" s="18" t="s">
        <v>732</v>
      </c>
    </row>
    <row r="483" spans="1:17" s="18" customFormat="1" ht="12.75">
      <c r="A483" s="96"/>
      <c r="C483" s="18" t="s">
        <v>100</v>
      </c>
      <c r="E483" s="20"/>
      <c r="F483" s="18">
        <v>516857</v>
      </c>
      <c r="G483" s="18" t="s">
        <v>20</v>
      </c>
      <c r="H483" s="20">
        <v>616</v>
      </c>
      <c r="I483" s="18">
        <v>229</v>
      </c>
      <c r="J483" s="18" t="s">
        <v>18</v>
      </c>
      <c r="K483" s="18" t="s">
        <v>61</v>
      </c>
      <c r="L483" s="18">
        <v>0.92</v>
      </c>
      <c r="M483" s="18" t="s">
        <v>95</v>
      </c>
      <c r="O483" s="54">
        <v>238.797</v>
      </c>
      <c r="P483" s="55">
        <v>4688.1899999999996</v>
      </c>
      <c r="Q483" s="18" t="s">
        <v>732</v>
      </c>
    </row>
    <row r="484" spans="1:17" s="18" customFormat="1" ht="12.75">
      <c r="A484" s="96"/>
      <c r="C484" s="21">
        <f>1146/21905</f>
        <v>5.231682264323214E-2</v>
      </c>
      <c r="E484" s="20"/>
      <c r="F484" s="18">
        <v>502994</v>
      </c>
      <c r="G484" s="18" t="s">
        <v>22</v>
      </c>
      <c r="H484" s="20">
        <v>739</v>
      </c>
      <c r="I484" s="18">
        <v>214</v>
      </c>
      <c r="J484" s="18" t="s">
        <v>92</v>
      </c>
      <c r="K484" s="18" t="s">
        <v>65</v>
      </c>
      <c r="L484" s="18">
        <v>0.9</v>
      </c>
      <c r="M484" s="18" t="s">
        <v>96</v>
      </c>
      <c r="O484" s="54">
        <v>190.14099999999999</v>
      </c>
      <c r="P484" s="55">
        <v>3815.9</v>
      </c>
      <c r="Q484" s="18" t="s">
        <v>732</v>
      </c>
    </row>
    <row r="485" spans="1:17" s="18" customFormat="1" ht="12.75">
      <c r="A485" s="96"/>
      <c r="E485" s="20"/>
      <c r="F485" s="18">
        <v>489449</v>
      </c>
      <c r="G485" s="18" t="s">
        <v>25</v>
      </c>
      <c r="H485" s="20">
        <v>898</v>
      </c>
      <c r="I485" s="18">
        <v>205</v>
      </c>
      <c r="J485" s="18" t="s">
        <v>92</v>
      </c>
      <c r="K485" s="18" t="s">
        <v>65</v>
      </c>
      <c r="L485" s="18">
        <v>0.89</v>
      </c>
      <c r="M485" s="18" t="s">
        <v>97</v>
      </c>
      <c r="O485" s="54">
        <v>182.47499999999999</v>
      </c>
      <c r="P485" s="55">
        <v>3703.2</v>
      </c>
      <c r="Q485" s="18" t="s">
        <v>732</v>
      </c>
    </row>
    <row r="486" spans="1:17" s="18" customFormat="1" ht="12.75">
      <c r="A486" s="96"/>
      <c r="E486" s="20"/>
      <c r="F486" s="18">
        <v>467990</v>
      </c>
      <c r="G486" s="18" t="s">
        <v>67</v>
      </c>
      <c r="H486" s="20">
        <v>1247</v>
      </c>
      <c r="I486" s="18">
        <v>230</v>
      </c>
      <c r="J486" s="18" t="s">
        <v>92</v>
      </c>
      <c r="K486" s="18" t="s">
        <v>65</v>
      </c>
      <c r="L486" s="18">
        <v>1.02</v>
      </c>
      <c r="M486" s="18" t="s">
        <v>98</v>
      </c>
      <c r="O486" s="54">
        <v>205.91800000000001</v>
      </c>
      <c r="P486" s="55">
        <v>3646.36</v>
      </c>
      <c r="Q486" s="18" t="s">
        <v>732</v>
      </c>
    </row>
    <row r="489" spans="1:17" s="49" customFormat="1" ht="70.5" customHeight="1">
      <c r="A489" s="99" t="s">
        <v>734</v>
      </c>
      <c r="B489" s="99"/>
      <c r="C489" s="99"/>
      <c r="D489" s="99"/>
      <c r="E489" s="99"/>
      <c r="F489" s="99"/>
      <c r="G489" s="99"/>
      <c r="H489" s="99"/>
      <c r="I489" s="99"/>
      <c r="J489" s="99"/>
      <c r="K489" s="99"/>
      <c r="L489" s="99"/>
      <c r="M489" s="99"/>
      <c r="N489" s="99"/>
      <c r="O489" s="99"/>
      <c r="P489" s="99"/>
      <c r="Q489" s="99"/>
    </row>
  </sheetData>
  <mergeCells count="22">
    <mergeCell ref="A454:A456"/>
    <mergeCell ref="A457:A486"/>
    <mergeCell ref="A489:Q489"/>
    <mergeCell ref="A217:A224"/>
    <mergeCell ref="A225:A294"/>
    <mergeCell ref="A295:A319"/>
    <mergeCell ref="A320:A331"/>
    <mergeCell ref="A332:A453"/>
    <mergeCell ref="A214:A216"/>
    <mergeCell ref="A119:A121"/>
    <mergeCell ref="A122:A136"/>
    <mergeCell ref="A149:A154"/>
    <mergeCell ref="A155:A178"/>
    <mergeCell ref="A179:A213"/>
    <mergeCell ref="A137:A148"/>
    <mergeCell ref="A2:A49"/>
    <mergeCell ref="A50:A54"/>
    <mergeCell ref="A55:A65"/>
    <mergeCell ref="A76:A93"/>
    <mergeCell ref="A94:A118"/>
    <mergeCell ref="A66:A71"/>
    <mergeCell ref="A72:A75"/>
  </mergeCells>
  <phoneticPr fontId="2" type="noConversion"/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Cohort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竹萱 符</dc:creator>
  <cp:lastModifiedBy>Andrea Portillo</cp:lastModifiedBy>
  <dcterms:created xsi:type="dcterms:W3CDTF">2016-02-26T17:12:56Z</dcterms:created>
  <dcterms:modified xsi:type="dcterms:W3CDTF">2016-06-14T20:32:58Z</dcterms:modified>
</cp:coreProperties>
</file>